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80865\Work Folders\PrivateWork\Hyllyt\Esimerkit laskupohjat\"/>
    </mc:Choice>
  </mc:AlternateContent>
  <xr:revisionPtr revIDLastSave="0" documentId="13_ncr:1_{9967F081-9B91-4E8A-B4C2-479BEA53BB7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huntarve" sheetId="1" r:id="rId1"/>
    <sheet name="OIV tarve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9" i="1" l="1"/>
  <c r="D6" i="1"/>
  <c r="D4" i="2"/>
  <c r="L8" i="2"/>
  <c r="K8" i="2"/>
  <c r="J8" i="2"/>
  <c r="M7" i="1"/>
  <c r="M80" i="1"/>
  <c r="M12" i="1" l="1"/>
  <c r="D32" i="1" l="1"/>
  <c r="I43" i="1"/>
  <c r="I46" i="1" s="1"/>
  <c r="I38" i="1"/>
  <c r="D39" i="1"/>
  <c r="D76" i="1"/>
  <c r="D90" i="1" l="1"/>
  <c r="E89" i="1"/>
  <c r="E92" i="1" s="1"/>
  <c r="D89" i="1"/>
  <c r="D92" i="1" s="1"/>
  <c r="F86" i="1"/>
  <c r="F89" i="1" s="1"/>
  <c r="F85" i="1"/>
  <c r="E85" i="1"/>
  <c r="D85" i="1"/>
  <c r="E80" i="1"/>
  <c r="J80" i="1" s="1"/>
  <c r="K80" i="1" s="1"/>
  <c r="D67" i="1"/>
  <c r="D68" i="1" s="1"/>
  <c r="D60" i="1"/>
  <c r="D61" i="1" s="1"/>
  <c r="F94" i="1" l="1"/>
  <c r="D94" i="1"/>
  <c r="F93" i="1"/>
  <c r="F92" i="1"/>
  <c r="E94" i="1"/>
  <c r="E93" i="1"/>
  <c r="D93" i="1"/>
  <c r="D97" i="1" l="1"/>
  <c r="D96" i="1"/>
  <c r="D100" i="1"/>
  <c r="D57" i="1"/>
  <c r="M16" i="1" s="1"/>
  <c r="D63" i="1" l="1"/>
  <c r="D64" i="1" s="1"/>
  <c r="D65" i="1" s="1"/>
  <c r="D70" i="1" s="1"/>
  <c r="O80" i="1" s="1"/>
  <c r="P80" i="1" s="1"/>
  <c r="D21" i="1" s="1"/>
  <c r="D103" i="1"/>
  <c r="D106" i="1" s="1"/>
  <c r="D102" i="1"/>
  <c r="D105" i="1" s="1"/>
  <c r="L5" i="1" s="1"/>
  <c r="D72" i="1" l="1"/>
  <c r="D71" i="1"/>
  <c r="D73" i="1" s="1"/>
  <c r="K5" i="1" s="1"/>
  <c r="L8" i="1"/>
  <c r="L9" i="1"/>
  <c r="I39" i="1"/>
  <c r="I49" i="1" s="1"/>
  <c r="D24" i="1" s="1"/>
  <c r="I33" i="1"/>
  <c r="I45" i="1" s="1"/>
  <c r="D23" i="1" s="1"/>
  <c r="D74" i="1" l="1"/>
  <c r="D75" i="1" s="1"/>
  <c r="K9" i="1" l="1"/>
  <c r="K8" i="1"/>
  <c r="D40" i="1"/>
  <c r="D35" i="1" l="1"/>
  <c r="D18" i="1" s="1"/>
  <c r="D36" i="1"/>
  <c r="D6" i="2" s="1"/>
  <c r="D7" i="2" l="1"/>
  <c r="D38" i="1"/>
  <c r="D41" i="1" s="1"/>
  <c r="D42" i="1" s="1"/>
  <c r="I52" i="1" l="1"/>
  <c r="I55" i="1"/>
  <c r="I51" i="1"/>
  <c r="I53" i="1" l="1"/>
  <c r="I54" i="1" s="1"/>
  <c r="D44" i="1" s="1"/>
  <c r="D46" i="1" s="1"/>
  <c r="J21" i="1" s="1"/>
  <c r="D47" i="1" l="1"/>
  <c r="D52" i="1" s="1"/>
  <c r="J5" i="1" s="1"/>
  <c r="M5" i="1" s="1"/>
  <c r="M13" i="1" s="1"/>
  <c r="I47" i="1"/>
  <c r="D5" i="2"/>
  <c r="D10" i="2" s="1"/>
  <c r="I48" i="1" s="1"/>
  <c r="D48" i="1"/>
  <c r="D49" i="1" s="1"/>
  <c r="D54" i="1" s="1"/>
  <c r="J9" i="1" s="1"/>
  <c r="M9" i="1" s="1"/>
  <c r="D50" i="1" l="1"/>
  <c r="M6" i="1"/>
  <c r="M11" i="1" s="1"/>
  <c r="D53" i="1"/>
  <c r="J8" i="1" s="1"/>
  <c r="M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tc={86027326-8AD8-4C05-8858-DCA885D9F23E}</author>
    <author>Auvo</author>
    <author>Auvo Sairanen</author>
    <author>Annu Palmio</author>
  </authors>
  <commentList>
    <comment ref="D9" authorId="0" shapeId="0" xr:uid="{86027326-8AD8-4C05-8858-DCA885D9F23E}">
      <text>
        <t>[Kommenttiketju]
Excel-versiosi avulla voit lukea tämän kommenttiketjun, mutta siihen tehdyt muutokset poistetaan, jos tiedosto avataan uudemmassa Excel-versiossa. Lisätietoja: https://go.microsoft.com/fwlink/?linkid=870924
Kommentti:
    Laidunsato ei voi olla suuri - 2,5 tn ka/ha aika realistinen. Tässä yhteydessä laidunsatoa ei lasketa joten se täytyy olla valistunut arvaus.</t>
      </text>
    </comment>
    <comment ref="D33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Auvo:</t>
        </r>
        <r>
          <rPr>
            <sz val="9"/>
            <color indexed="81"/>
            <rFont val="Tahoma"/>
            <family val="2"/>
          </rPr>
          <t xml:space="preserve">
Vaikuttaa vasikoiden määrään</t>
        </r>
      </text>
    </comment>
    <comment ref="D86" authorId="2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Tämä fixattu Erkin taulukon kanssa</t>
        </r>
      </text>
    </comment>
    <comment ref="E86" authorId="3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 xml:space="preserve">ikäväli 200-300 pv ja kasvu 850 g/pv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tc={06A53B82-3209-4FF6-BD83-2019B720B016}</author>
  </authors>
  <commentList>
    <comment ref="K8" authorId="0" shapeId="0" xr:uid="{06A53B82-3209-4FF6-BD83-2019B720B016}">
      <text>
        <t>[Kommenttiketju]
Excel-versiosi avulla voit lukea tämän kommenttiketjun, mutta siihen tehdyt muutokset poistetaan, jos tiedosto avataan uudemmassa Excel-versiossa. Lisätietoja: https://go.microsoft.com/fwlink/?linkid=870924
Kommentti:
    3 kk tarve täytyy jakaa kaikille lypsypäiville</t>
      </text>
    </comment>
  </commentList>
</comments>
</file>

<file path=xl/sharedStrings.xml><?xml version="1.0" encoding="utf-8"?>
<sst xmlns="http://schemas.openxmlformats.org/spreadsheetml/2006/main" count="259" uniqueCount="191">
  <si>
    <t>TUOTOS</t>
  </si>
  <si>
    <t>EKM-tuotos/vuosi</t>
  </si>
  <si>
    <t>tuotospäiviä/vuosi</t>
  </si>
  <si>
    <t>EKM kg/pv</t>
  </si>
  <si>
    <t>Maitoa kg/tuotospäivä</t>
  </si>
  <si>
    <t>ME-TARVE</t>
  </si>
  <si>
    <t xml:space="preserve">ME-tarve tuotokseen </t>
  </si>
  <si>
    <t>Elopaino</t>
  </si>
  <si>
    <t>ME-tarve ylläpitoon</t>
  </si>
  <si>
    <t>ME-tarve elopainon muutokseen</t>
  </si>
  <si>
    <t>ME-tarve yhteensä tuotospäivä</t>
  </si>
  <si>
    <t>Dieetin ME-pit. (korjattu)</t>
  </si>
  <si>
    <t xml:space="preserve">Kuiva-ainesyönti </t>
  </si>
  <si>
    <t>Poistoikä</t>
  </si>
  <si>
    <t>Ruokinta</t>
  </si>
  <si>
    <t>Vr ME</t>
  </si>
  <si>
    <t>SrMe</t>
  </si>
  <si>
    <t>Medieetti</t>
  </si>
  <si>
    <t>Ohra ME</t>
  </si>
  <si>
    <t>Rypsi ME</t>
  </si>
  <si>
    <t>Ohra RV</t>
  </si>
  <si>
    <t>Rypsi RV</t>
  </si>
  <si>
    <t>Rypsi osuus</t>
  </si>
  <si>
    <t>VrRv</t>
  </si>
  <si>
    <t>Rvdieetti</t>
  </si>
  <si>
    <t>Sr RV</t>
  </si>
  <si>
    <r>
      <t>Korjattu ME-saanti (MJ/pv) = Korjaamaton ME-saanti (MJ/pv) - (-56,7 + 6,99 × MEyp + 1,621 × ka-syönti - 0,44595 × rv-pit + 0,00112 × rv-pit</t>
    </r>
    <r>
      <rPr>
        <vertAlign val="superscript"/>
        <sz val="11"/>
        <color rgb="FF333333"/>
        <rFont val="Arial"/>
        <family val="2"/>
      </rPr>
      <t>2</t>
    </r>
    <r>
      <rPr>
        <sz val="7"/>
        <color rgb="FF333333"/>
        <rFont val="Arial"/>
        <family val="2"/>
      </rPr>
      <t>)</t>
    </r>
  </si>
  <si>
    <t>MJME/pv</t>
  </si>
  <si>
    <t>korjaamaton energiapitoisuus</t>
  </si>
  <si>
    <t>Meint kor</t>
  </si>
  <si>
    <t>ME int tau</t>
  </si>
  <si>
    <t>ME pit kor</t>
  </si>
  <si>
    <t>discount</t>
  </si>
  <si>
    <t>Säilörehua</t>
  </si>
  <si>
    <t>Rypsirouhetta</t>
  </si>
  <si>
    <t>kgka/pv</t>
  </si>
  <si>
    <t>Maitotuotos</t>
  </si>
  <si>
    <t>RUOKINTA</t>
  </si>
  <si>
    <t>LYPSYLEHMÄT</t>
  </si>
  <si>
    <t>UMMESSA OLEVAT</t>
  </si>
  <si>
    <t>Umpipäiviä</t>
  </si>
  <si>
    <t>Vasikan syntymäpaino</t>
  </si>
  <si>
    <t>Tiineyden lisätarve</t>
  </si>
  <si>
    <t>Dieetin rv-pit.</t>
  </si>
  <si>
    <t>Tiineyden lisätarve per umpipäivä</t>
  </si>
  <si>
    <t xml:space="preserve">MJ ME  </t>
  </si>
  <si>
    <t>Syönti</t>
  </si>
  <si>
    <t>Umpilehmien väkirehuosuus</t>
  </si>
  <si>
    <t>koko umpikautta kohti</t>
  </si>
  <si>
    <t>kgka</t>
  </si>
  <si>
    <t>g/kgka</t>
  </si>
  <si>
    <t>Viljaa</t>
  </si>
  <si>
    <t>0-6 kk</t>
  </si>
  <si>
    <t>6-12 kk</t>
  </si>
  <si>
    <t>yli 12 kk</t>
  </si>
  <si>
    <t>0-182</t>
  </si>
  <si>
    <t>183-365</t>
  </si>
  <si>
    <t>366-730</t>
  </si>
  <si>
    <t>MJ ME /tiineys, rehutaulukot</t>
  </si>
  <si>
    <t>Yli 12 kk sisältää tiineyden lisätarpeen jaettuna luokan kaikille päiville</t>
  </si>
  <si>
    <t>Keskipaino</t>
  </si>
  <si>
    <t>Energian tarve</t>
  </si>
  <si>
    <t>Alkupaino</t>
  </si>
  <si>
    <t>Kasvu</t>
  </si>
  <si>
    <t>Loppupaino</t>
  </si>
  <si>
    <t>Dieetin energiapitoisuus</t>
  </si>
  <si>
    <t>kg</t>
  </si>
  <si>
    <t>kg/pv</t>
  </si>
  <si>
    <t>MJ ME</t>
  </si>
  <si>
    <t>kg ka/pv</t>
  </si>
  <si>
    <t>kgka /pv</t>
  </si>
  <si>
    <t>Väkirehuosuus</t>
  </si>
  <si>
    <t>uudistusprosentti</t>
  </si>
  <si>
    <t>osuus</t>
  </si>
  <si>
    <t>Hiehojen määrä</t>
  </si>
  <si>
    <t>Lehmäluku</t>
  </si>
  <si>
    <t>kpl</t>
  </si>
  <si>
    <t>Tilalla ei kasvateta uudistukseen tarvittavien hiehojen lisäksi muita eläimiä</t>
  </si>
  <si>
    <t>osuus päivistä</t>
  </si>
  <si>
    <t>hiehojen poikimaiäksi vakioitu 2.2 v</t>
  </si>
  <si>
    <t>pv</t>
  </si>
  <si>
    <t>vuotta</t>
  </si>
  <si>
    <t>Yli 60 pv hiehoja</t>
  </si>
  <si>
    <t>kpl/vuosi. Oletettu 5 % hiehokuolleisuus</t>
  </si>
  <si>
    <t>kpl/vuosi.</t>
  </si>
  <si>
    <t>keskimääräinen uudishiehon syöntimäärä kalenteripäivää kohti</t>
  </si>
  <si>
    <t xml:space="preserve"> kgka/pv</t>
  </si>
  <si>
    <t>kgka/v</t>
  </si>
  <si>
    <t>Tuotoskausi</t>
  </si>
  <si>
    <t>Umpikausi</t>
  </si>
  <si>
    <t>Uudistus</t>
  </si>
  <si>
    <t>Rypsirouhe</t>
  </si>
  <si>
    <t>yhteensä</t>
  </si>
  <si>
    <t>kgka/tuotoskausi/karja</t>
  </si>
  <si>
    <t>kgka /kalenterivuosi/karja</t>
  </si>
  <si>
    <t>UUDISELÄIMET</t>
  </si>
  <si>
    <t>tn ka/vuosi</t>
  </si>
  <si>
    <t>Sr D, lypsävät</t>
  </si>
  <si>
    <t>g/kg ka</t>
  </si>
  <si>
    <t>Ylläpitotarve per umpipäivä</t>
  </si>
  <si>
    <t>MJ ME, 10 % lisäys huntturissa</t>
  </si>
  <si>
    <t>Umpilehmien  säilörehun ME</t>
  </si>
  <si>
    <t>Olkea</t>
  </si>
  <si>
    <t>Olki ME</t>
  </si>
  <si>
    <t>Meint</t>
  </si>
  <si>
    <t>Mediet</t>
  </si>
  <si>
    <t>Syönti sr+vilja</t>
  </si>
  <si>
    <t>Säilörehun ME-pit.</t>
  </si>
  <si>
    <t>Umpilehmien dieetin ME</t>
  </si>
  <si>
    <t>kgka/pv. Yksinkertaisuuden vuoksi oletusarvo</t>
  </si>
  <si>
    <t>Energiantarve tot</t>
  </si>
  <si>
    <t>Energiantarve Sr+Vilja</t>
  </si>
  <si>
    <t>Sr + Vilja ME</t>
  </si>
  <si>
    <t>Välilukuja</t>
  </si>
  <si>
    <t>Vilja+Rou ME</t>
  </si>
  <si>
    <t>Alle 6 kk vasuille annetaan teollista vasikkarehua, määrää ei sisällytetä tähän laskelmaan</t>
  </si>
  <si>
    <t>Luokassa viipymisaika, pv</t>
  </si>
  <si>
    <t>ME-tarve tuotantokaudelle</t>
  </si>
  <si>
    <t>osuus lypsylehmien rehussa</t>
  </si>
  <si>
    <t>Lehmien dieetin ME</t>
  </si>
  <si>
    <t>Lehmien dieetin RV</t>
  </si>
  <si>
    <t>Säilörehu varastotappio</t>
  </si>
  <si>
    <t>%</t>
  </si>
  <si>
    <t>Lisäksi umppareille vakiomäärä olkea</t>
  </si>
  <si>
    <t>hyötysuhde</t>
  </si>
  <si>
    <t>viljaa</t>
  </si>
  <si>
    <t>Vilja+rouhe</t>
  </si>
  <si>
    <t>Kivennäinen</t>
  </si>
  <si>
    <t>kivennäisten osuus 1 % kuiva-ainesyönnistä</t>
  </si>
  <si>
    <t>ME</t>
  </si>
  <si>
    <t>ohrarypsi</t>
  </si>
  <si>
    <t>OIVohra</t>
  </si>
  <si>
    <t>OIVrypsi</t>
  </si>
  <si>
    <t>OIVsr</t>
  </si>
  <si>
    <t>OIVdieetti</t>
  </si>
  <si>
    <t>OIV ohrarypsi</t>
  </si>
  <si>
    <t>g/kgka sis kiv</t>
  </si>
  <si>
    <t>osuus, sis kiv</t>
  </si>
  <si>
    <t>ha</t>
  </si>
  <si>
    <t>Nurmirehua</t>
  </si>
  <si>
    <t>Nurmisato</t>
  </si>
  <si>
    <t>tn ka/ha</t>
  </si>
  <si>
    <t>Meijeriin toimitettu maito</t>
  </si>
  <si>
    <t>Meijerimaidon osuus</t>
  </si>
  <si>
    <t>Viljaa+rouhe</t>
  </si>
  <si>
    <t>Rouhetta</t>
  </si>
  <si>
    <t>Yksinkertaisuuden vuoksi oletetaan, että summataulussa rouheen osuus 20 % väkirehusta</t>
  </si>
  <si>
    <t>Riippuu kyllä poikimavälistä ja uudistusprosentista</t>
  </si>
  <si>
    <t>Vasikoita per vuosi /lehmä</t>
  </si>
  <si>
    <t>MJ ME /pv</t>
  </si>
  <si>
    <t>ME vilja</t>
  </si>
  <si>
    <t>ME rouhe</t>
  </si>
  <si>
    <t>Laidunala</t>
  </si>
  <si>
    <t>Laidunsato</t>
  </si>
  <si>
    <t>kgka/ha</t>
  </si>
  <si>
    <t>Laidunta</t>
  </si>
  <si>
    <t>Säilörehusato</t>
  </si>
  <si>
    <t>Säilörehuala</t>
  </si>
  <si>
    <t>Laidun ei ota kantaa mille eläinryhmälle se on tarkoitettu</t>
  </si>
  <si>
    <t>g OIV/pv</t>
  </si>
  <si>
    <t>Ylläpitoon</t>
  </si>
  <si>
    <t>Maidontuotantoon</t>
  </si>
  <si>
    <t>Valkuaistuotos</t>
  </si>
  <si>
    <t>g/pv</t>
  </si>
  <si>
    <t>Tiineyslisä</t>
  </si>
  <si>
    <t>9 kk</t>
  </si>
  <si>
    <t>8 kk</t>
  </si>
  <si>
    <t>7 kk</t>
  </si>
  <si>
    <t>tiineyden osuus lypsypäivistä</t>
  </si>
  <si>
    <t>Yhteensä</t>
  </si>
  <si>
    <t>Auvo Sairanen 11.1.2023</t>
  </si>
  <si>
    <t>OIV saanti</t>
  </si>
  <si>
    <t>OIV tase</t>
  </si>
  <si>
    <t>Rehunsyönti</t>
  </si>
  <si>
    <t xml:space="preserve">laskennallinen </t>
  </si>
  <si>
    <t>Vihreällä pohjalla merkittyjä soluja voi muuttaa</t>
  </si>
  <si>
    <t>l, karjataso</t>
  </si>
  <si>
    <t>kg/le/vuosi</t>
  </si>
  <si>
    <t>kg/lehmä</t>
  </si>
  <si>
    <t>MJ ME (korjaamaton)</t>
  </si>
  <si>
    <t>EKM</t>
  </si>
  <si>
    <t>Maidon rasva</t>
  </si>
  <si>
    <t>Maidon valkuainen</t>
  </si>
  <si>
    <t>tn/vuosi</t>
  </si>
  <si>
    <t>Rehumäärät ovat kuiva-aineina, jotta niitä voi verrata keskenään</t>
  </si>
  <si>
    <t>Taulukon alaosassa laskentakaavat ja sinne ei tehdä muutoksia</t>
  </si>
  <si>
    <t>Hiehon poikimaikä</t>
  </si>
  <si>
    <t>Viljelysuunnitelma</t>
  </si>
  <si>
    <t>Oletusarvo</t>
  </si>
  <si>
    <t>Teolliset seokset voivat korvata viljaa+rouhetta, minkä vuoksi viljan satolaskelmaa ei voi tehdä</t>
  </si>
  <si>
    <t>kehäviittaus, Muuta vihreään soluun sama luku kuin keltaisella pohjalla merkitty (laskennallinen syönti) discounttia varten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</si>
</sst>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7" x14ac:knownFonts="1"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7"/>
      <color rgb="FF333333"/>
      <name val="Arial"/>
      <family val="2"/>
    </font>
    <font>
      <vertAlign val="superscript"/>
      <sz val="11"/>
      <color rgb="FF33333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0" fillId="0" borderId="0" xfId="0" applyFont="1"/>
    <xf numFmtId="164" fontId="3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3" fillId="0" borderId="0" xfId="0" applyFont="1"/>
    <xf numFmtId="165" fontId="3" fillId="0" borderId="0" xfId="0" applyNumberFormat="1" applyFont="1" applyFill="1" applyAlignment="1">
      <alignment horizontal="center"/>
    </xf>
    <xf numFmtId="0" fontId="1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3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5" fillId="0" borderId="0" xfId="0" applyFont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10" fillId="0" borderId="0" xfId="0" applyFont="1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/>
    <xf numFmtId="16" fontId="0" fillId="0" borderId="0" xfId="0" quotePrefix="1" applyNumberFormat="1"/>
    <xf numFmtId="0" fontId="0" fillId="0" borderId="2" xfId="0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2" fontId="0" fillId="3" borderId="3" xfId="0" applyNumberFormat="1" applyFill="1" applyBorder="1"/>
    <xf numFmtId="1" fontId="0" fillId="3" borderId="3" xfId="0" applyNumberFormat="1" applyFill="1" applyBorder="1"/>
    <xf numFmtId="1" fontId="0" fillId="3" borderId="0" xfId="0" applyNumberFormat="1" applyFill="1"/>
    <xf numFmtId="0" fontId="0" fillId="0" borderId="4" xfId="0" applyBorder="1"/>
    <xf numFmtId="0" fontId="0" fillId="0" borderId="5" xfId="0" applyBorder="1"/>
    <xf numFmtId="0" fontId="0" fillId="0" borderId="7" xfId="0" applyBorder="1"/>
    <xf numFmtId="1" fontId="0" fillId="0" borderId="0" xfId="0" applyNumberFormat="1" applyBorder="1"/>
    <xf numFmtId="0" fontId="0" fillId="0" borderId="9" xfId="0" applyBorder="1"/>
    <xf numFmtId="1" fontId="0" fillId="0" borderId="10" xfId="0" applyNumberFormat="1" applyBorder="1"/>
    <xf numFmtId="0" fontId="0" fillId="4" borderId="5" xfId="0" applyFill="1" applyBorder="1"/>
    <xf numFmtId="0" fontId="0" fillId="4" borderId="6" xfId="0" applyFill="1" applyBorder="1"/>
    <xf numFmtId="0" fontId="0" fillId="4" borderId="8" xfId="0" applyFill="1" applyBorder="1"/>
    <xf numFmtId="0" fontId="0" fillId="4" borderId="11" xfId="0" applyFill="1" applyBorder="1"/>
    <xf numFmtId="1" fontId="0" fillId="2" borderId="0" xfId="0" applyNumberFormat="1" applyFont="1" applyFill="1" applyAlignment="1" applyProtection="1">
      <alignment horizontal="center"/>
      <protection locked="0"/>
    </xf>
    <xf numFmtId="2" fontId="0" fillId="2" borderId="0" xfId="0" applyNumberFormat="1" applyFont="1" applyFill="1" applyAlignment="1" applyProtection="1">
      <alignment horizontal="center"/>
      <protection locked="0"/>
    </xf>
    <xf numFmtId="0" fontId="0" fillId="2" borderId="0" xfId="0" applyFont="1" applyFill="1" applyAlignment="1" applyProtection="1">
      <alignment horizontal="center"/>
      <protection locked="0"/>
    </xf>
    <xf numFmtId="0" fontId="0" fillId="0" borderId="0" xfId="0" applyBorder="1"/>
    <xf numFmtId="0" fontId="0" fillId="0" borderId="0" xfId="0" applyFont="1" applyFill="1" applyBorder="1" applyAlignment="1">
      <alignment horizontal="center"/>
    </xf>
    <xf numFmtId="0" fontId="11" fillId="0" borderId="0" xfId="0" applyFont="1" applyBorder="1"/>
    <xf numFmtId="0" fontId="12" fillId="0" borderId="0" xfId="0" applyFont="1"/>
    <xf numFmtId="164" fontId="0" fillId="0" borderId="0" xfId="0" applyNumberFormat="1" applyFont="1" applyFill="1" applyAlignment="1" applyProtection="1">
      <alignment horizontal="center"/>
    </xf>
    <xf numFmtId="0" fontId="13" fillId="0" borderId="12" xfId="0" applyFont="1" applyBorder="1"/>
    <xf numFmtId="0" fontId="13" fillId="0" borderId="13" xfId="0" applyFont="1" applyBorder="1"/>
    <xf numFmtId="0" fontId="13" fillId="0" borderId="14" xfId="0" applyFont="1" applyBorder="1"/>
    <xf numFmtId="0" fontId="13" fillId="0" borderId="15" xfId="0" applyFont="1" applyBorder="1"/>
    <xf numFmtId="0" fontId="13" fillId="0" borderId="16" xfId="0" applyFont="1" applyBorder="1"/>
    <xf numFmtId="1" fontId="13" fillId="0" borderId="16" xfId="0" applyNumberFormat="1" applyFont="1" applyBorder="1"/>
    <xf numFmtId="164" fontId="13" fillId="0" borderId="17" xfId="0" applyNumberFormat="1" applyFont="1" applyBorder="1"/>
    <xf numFmtId="0" fontId="14" fillId="0" borderId="0" xfId="0" applyFont="1"/>
    <xf numFmtId="2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164" fontId="0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4" fontId="3" fillId="0" borderId="0" xfId="0" quotePrefix="1" applyNumberFormat="1" applyFont="1" applyFill="1" applyAlignment="1">
      <alignment horizontal="center"/>
    </xf>
    <xf numFmtId="1" fontId="3" fillId="0" borderId="0" xfId="0" quotePrefix="1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15" fillId="0" borderId="0" xfId="0" applyFont="1"/>
    <xf numFmtId="0" fontId="13" fillId="0" borderId="0" xfId="0" applyFont="1" applyFill="1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10" xfId="0" applyBorder="1"/>
    <xf numFmtId="0" fontId="0" fillId="0" borderId="11" xfId="0" applyBorder="1"/>
    <xf numFmtId="164" fontId="0" fillId="0" borderId="0" xfId="0" applyNumberFormat="1" applyBorder="1"/>
    <xf numFmtId="0" fontId="0" fillId="0" borderId="8" xfId="0" applyBorder="1"/>
    <xf numFmtId="164" fontId="0" fillId="0" borderId="10" xfId="0" applyNumberFormat="1" applyBorder="1"/>
    <xf numFmtId="0" fontId="9" fillId="0" borderId="0" xfId="0" applyFont="1"/>
    <xf numFmtId="0" fontId="9" fillId="0" borderId="18" xfId="0" applyFont="1" applyBorder="1"/>
    <xf numFmtId="164" fontId="9" fillId="0" borderId="19" xfId="0" applyNumberFormat="1" applyFont="1" applyBorder="1"/>
    <xf numFmtId="0" fontId="9" fillId="0" borderId="21" xfId="0" applyFont="1" applyBorder="1"/>
    <xf numFmtId="164" fontId="0" fillId="6" borderId="0" xfId="0" applyNumberFormat="1" applyFill="1" applyAlignment="1">
      <alignment horizontal="center"/>
    </xf>
    <xf numFmtId="0" fontId="0" fillId="0" borderId="12" xfId="0" applyBorder="1"/>
    <xf numFmtId="1" fontId="0" fillId="0" borderId="13" xfId="0" applyNumberFormat="1" applyBorder="1"/>
    <xf numFmtId="0" fontId="0" fillId="0" borderId="14" xfId="0" applyBorder="1"/>
    <xf numFmtId="0" fontId="0" fillId="0" borderId="15" xfId="0" applyBorder="1"/>
    <xf numFmtId="1" fontId="0" fillId="0" borderId="16" xfId="0" applyNumberFormat="1" applyBorder="1"/>
    <xf numFmtId="0" fontId="0" fillId="0" borderId="17" xfId="0" applyBorder="1"/>
    <xf numFmtId="0" fontId="9" fillId="0" borderId="23" xfId="0" applyFont="1" applyBorder="1"/>
    <xf numFmtId="0" fontId="9" fillId="2" borderId="24" xfId="0" applyFont="1" applyFill="1" applyBorder="1" applyAlignment="1" applyProtection="1">
      <alignment horizontal="center"/>
      <protection locked="0"/>
    </xf>
    <xf numFmtId="0" fontId="9" fillId="0" borderId="25" xfId="0" applyFont="1" applyBorder="1"/>
    <xf numFmtId="1" fontId="0" fillId="4" borderId="0" xfId="0" applyNumberFormat="1" applyFill="1" applyBorder="1"/>
    <xf numFmtId="1" fontId="0" fillId="4" borderId="10" xfId="0" applyNumberFormat="1" applyFill="1" applyBorder="1"/>
    <xf numFmtId="164" fontId="4" fillId="0" borderId="24" xfId="0" applyNumberFormat="1" applyFont="1" applyFill="1" applyBorder="1" applyAlignment="1">
      <alignment horizontal="center"/>
    </xf>
    <xf numFmtId="0" fontId="0" fillId="0" borderId="25" xfId="0" applyBorder="1"/>
    <xf numFmtId="164" fontId="0" fillId="5" borderId="0" xfId="0" applyNumberFormat="1" applyFont="1" applyFill="1" applyAlignment="1" applyProtection="1">
      <alignment horizontal="center"/>
    </xf>
    <xf numFmtId="164" fontId="0" fillId="2" borderId="20" xfId="0" applyNumberFormat="1" applyFill="1" applyBorder="1" applyAlignment="1" applyProtection="1">
      <alignment horizontal="center"/>
      <protection locked="0"/>
    </xf>
    <xf numFmtId="164" fontId="0" fillId="0" borderId="22" xfId="0" applyNumberFormat="1" applyBorder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1" fontId="0" fillId="0" borderId="0" xfId="0" quotePrefix="1" applyNumberFormat="1"/>
    <xf numFmtId="1" fontId="0" fillId="0" borderId="0" xfId="0" quotePrefix="1" applyNumberFormat="1" applyAlignment="1">
      <alignment horizontal="center"/>
    </xf>
    <xf numFmtId="0" fontId="0" fillId="0" borderId="0" xfId="0" applyFill="1" applyBorder="1"/>
    <xf numFmtId="0" fontId="16" fillId="0" borderId="0" xfId="0" applyFont="1" applyFill="1" applyBorder="1"/>
    <xf numFmtId="3" fontId="9" fillId="2" borderId="24" xfId="0" applyNumberFormat="1" applyFont="1" applyFill="1" applyBorder="1" applyProtection="1">
      <protection locked="0"/>
    </xf>
    <xf numFmtId="0" fontId="9" fillId="0" borderId="12" xfId="0" applyFont="1" applyBorder="1"/>
    <xf numFmtId="1" fontId="9" fillId="2" borderId="13" xfId="0" applyNumberFormat="1" applyFont="1" applyFill="1" applyBorder="1" applyAlignment="1" applyProtection="1">
      <alignment horizontal="center"/>
      <protection locked="0"/>
    </xf>
    <xf numFmtId="0" fontId="9" fillId="0" borderId="14" xfId="0" applyFont="1" applyBorder="1"/>
    <xf numFmtId="0" fontId="9" fillId="0" borderId="15" xfId="0" applyFont="1" applyBorder="1"/>
    <xf numFmtId="1" fontId="9" fillId="2" borderId="16" xfId="0" applyNumberFormat="1" applyFont="1" applyFill="1" applyBorder="1" applyAlignment="1" applyProtection="1">
      <alignment horizontal="center"/>
      <protection locked="0"/>
    </xf>
    <xf numFmtId="0" fontId="9" fillId="0" borderId="17" xfId="0" applyFont="1" applyBorder="1"/>
    <xf numFmtId="164" fontId="9" fillId="2" borderId="0" xfId="0" applyNumberFormat="1" applyFont="1" applyFill="1" applyAlignment="1" applyProtection="1">
      <alignment horizontal="center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466725</xdr:colOff>
      <xdr:row>9</xdr:row>
      <xdr:rowOff>114300</xdr:rowOff>
    </xdr:from>
    <xdr:to>
      <xdr:col>17</xdr:col>
      <xdr:colOff>123825</xdr:colOff>
      <xdr:row>11</xdr:row>
      <xdr:rowOff>104775</xdr:rowOff>
    </xdr:to>
    <xdr:sp macro="" textlink="">
      <xdr:nvSpPr>
        <xdr:cNvPr id="5" name="Arrow: Left 4">
          <a:extLst>
            <a:ext uri="{FF2B5EF4-FFF2-40B4-BE49-F238E27FC236}">
              <a16:creationId xmlns:a16="http://schemas.microsoft.com/office/drawing/2014/main" id="{AB5876B9-F5A1-4389-A82A-DA03E48DAA7F}"/>
            </a:ext>
          </a:extLst>
        </xdr:cNvPr>
        <xdr:cNvSpPr/>
      </xdr:nvSpPr>
      <xdr:spPr>
        <a:xfrm>
          <a:off x="11229975" y="1657350"/>
          <a:ext cx="1485900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fi-FI" sz="1100"/>
            <a:t>      Säilörehusato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airanen Auvo (LUKE)" id="{51D7F0BE-B4B1-41A1-AA22-742AE5207706}" userId="S::auvo.sairanen@luke.fi::c22d43c2-c86f-431a-b6c6-b198e619ff66" providerId="AD"/>
</personList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" dT="2022-11-22T11:15:20.43" personId="{51D7F0BE-B4B1-41A1-AA22-742AE5207706}" id="{86027326-8AD8-4C05-8858-DCA885D9F23E}">
    <text>Laidunsato ei voi olla suuri - 2,5 tn ka/ha aika realistinen. Tässä yhteydessä laidunsatoa ei lasketa joten se täytyy olla valistunut arvaus.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8" dT="2023-01-12T06:01:10.83" personId="{51D7F0BE-B4B1-41A1-AA22-742AE5207706}" id="{06A53B82-3209-4FF6-BD83-2019B720B016}">
    <text>3 kk tarve täytyy jakaa kaikille lypsypäiville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6"/>
  <sheetViews>
    <sheetView tabSelected="1" workbookViewId="0">
      <pane ySplit="25" topLeftCell="A26" activePane="bottomLeft" state="frozen"/>
      <selection pane="bottomLeft" activeCell="D3" sqref="D3"/>
    </sheetView>
  </sheetViews>
  <sheetFormatPr defaultRowHeight="15" x14ac:dyDescent="0.25"/>
  <cols>
    <col min="2" max="2" width="10.85546875" customWidth="1"/>
    <col min="3" max="3" width="28.5703125" customWidth="1"/>
    <col min="4" max="5" width="11.140625" customWidth="1"/>
    <col min="6" max="6" width="9.5703125" bestFit="1" customWidth="1"/>
    <col min="8" max="8" width="12.42578125" customWidth="1"/>
    <col min="9" max="9" width="13.5703125" customWidth="1"/>
    <col min="10" max="10" width="11.28515625" customWidth="1"/>
    <col min="13" max="13" width="10.85546875" customWidth="1"/>
    <col min="14" max="14" width="11.140625" customWidth="1"/>
  </cols>
  <sheetData>
    <row r="1" spans="1:16" x14ac:dyDescent="0.25">
      <c r="A1" s="71" t="s">
        <v>175</v>
      </c>
    </row>
    <row r="2" spans="1:16" x14ac:dyDescent="0.25">
      <c r="A2" s="71"/>
    </row>
    <row r="3" spans="1:16" ht="15.75" thickBot="1" x14ac:dyDescent="0.3">
      <c r="C3" s="82" t="s">
        <v>75</v>
      </c>
      <c r="D3" s="83">
        <v>120</v>
      </c>
      <c r="E3" s="84" t="s">
        <v>76</v>
      </c>
    </row>
    <row r="4" spans="1:16" x14ac:dyDescent="0.25">
      <c r="C4" s="82" t="s">
        <v>142</v>
      </c>
      <c r="D4" s="97">
        <v>1200000</v>
      </c>
      <c r="E4" s="84" t="s">
        <v>176</v>
      </c>
      <c r="I4" s="26" t="s">
        <v>49</v>
      </c>
      <c r="J4" s="27" t="s">
        <v>88</v>
      </c>
      <c r="K4" s="27" t="s">
        <v>89</v>
      </c>
      <c r="L4" s="27" t="s">
        <v>90</v>
      </c>
      <c r="M4" s="32" t="s">
        <v>92</v>
      </c>
      <c r="N4" s="33"/>
    </row>
    <row r="5" spans="1:16" x14ac:dyDescent="0.25">
      <c r="C5" t="s">
        <v>143</v>
      </c>
      <c r="D5" s="92">
        <v>95</v>
      </c>
      <c r="E5" t="s">
        <v>122</v>
      </c>
      <c r="I5" s="28" t="s">
        <v>139</v>
      </c>
      <c r="J5" s="29">
        <f>D52*(1+D12/100)</f>
        <v>514269.14502245374</v>
      </c>
      <c r="K5" s="29">
        <f>D73*(1+D12/100)</f>
        <v>47398.154902478549</v>
      </c>
      <c r="L5" s="29">
        <f>D105*(1+D12/100)</f>
        <v>163462.75967822591</v>
      </c>
      <c r="M5" s="85">
        <f>SUM(J5:L5)/1000</f>
        <v>725.1300596031582</v>
      </c>
      <c r="N5" s="34" t="s">
        <v>96</v>
      </c>
    </row>
    <row r="6" spans="1:16" x14ac:dyDescent="0.25">
      <c r="C6" t="s">
        <v>36</v>
      </c>
      <c r="D6" s="94">
        <f>D4/D3/(D5/100)/1.03</f>
        <v>10219.724067450179</v>
      </c>
      <c r="E6" t="s">
        <v>177</v>
      </c>
      <c r="G6" s="93"/>
      <c r="I6" s="28" t="s">
        <v>33</v>
      </c>
      <c r="J6" s="39"/>
      <c r="K6" s="39"/>
      <c r="L6" s="39"/>
      <c r="M6" s="29">
        <f>M5-M7</f>
        <v>705.1300596031582</v>
      </c>
      <c r="N6" s="69" t="s">
        <v>96</v>
      </c>
    </row>
    <row r="7" spans="1:16" x14ac:dyDescent="0.25">
      <c r="A7" s="71" t="s">
        <v>187</v>
      </c>
      <c r="B7" s="71"/>
      <c r="C7" s="98" t="s">
        <v>157</v>
      </c>
      <c r="D7" s="99">
        <v>120</v>
      </c>
      <c r="E7" s="100" t="s">
        <v>138</v>
      </c>
      <c r="I7" s="28" t="s">
        <v>155</v>
      </c>
      <c r="J7" s="39"/>
      <c r="K7" s="39"/>
      <c r="L7" s="39"/>
      <c r="M7" s="29">
        <f>D8*D9/1000</f>
        <v>20</v>
      </c>
      <c r="N7" s="69" t="s">
        <v>96</v>
      </c>
      <c r="P7" t="s">
        <v>158</v>
      </c>
    </row>
    <row r="8" spans="1:16" x14ac:dyDescent="0.25">
      <c r="A8" s="71" t="s">
        <v>187</v>
      </c>
      <c r="B8" s="71"/>
      <c r="C8" s="101" t="s">
        <v>152</v>
      </c>
      <c r="D8" s="102">
        <v>8</v>
      </c>
      <c r="E8" s="103" t="s">
        <v>138</v>
      </c>
      <c r="I8" s="28" t="s">
        <v>51</v>
      </c>
      <c r="J8" s="29">
        <f>D53</f>
        <v>374714.24009934568</v>
      </c>
      <c r="K8" s="29">
        <f>D74*0.8</f>
        <v>1814.2834412431982</v>
      </c>
      <c r="L8" s="29">
        <f>0.8*D106</f>
        <v>8989.8217871684392</v>
      </c>
      <c r="M8" s="85">
        <f>SUM(J8:L8)/1000</f>
        <v>385.51834532775729</v>
      </c>
      <c r="N8" s="34" t="s">
        <v>96</v>
      </c>
      <c r="P8" t="s">
        <v>184</v>
      </c>
    </row>
    <row r="9" spans="1:16" ht="15.75" thickBot="1" x14ac:dyDescent="0.3">
      <c r="A9" t="s">
        <v>188</v>
      </c>
      <c r="C9" t="s">
        <v>153</v>
      </c>
      <c r="D9" s="36">
        <v>2500</v>
      </c>
      <c r="E9" t="s">
        <v>154</v>
      </c>
      <c r="I9" s="30" t="s">
        <v>91</v>
      </c>
      <c r="J9" s="31">
        <f>D54</f>
        <v>93678.560024836421</v>
      </c>
      <c r="K9" s="31">
        <f>D74*0.2</f>
        <v>453.57086031079956</v>
      </c>
      <c r="L9" s="31">
        <f>0.2*D106</f>
        <v>2247.4554467921098</v>
      </c>
      <c r="M9" s="86">
        <f>SUM(J9:L9)/1000</f>
        <v>96.379586331939322</v>
      </c>
      <c r="N9" s="35" t="s">
        <v>96</v>
      </c>
      <c r="P9" t="s">
        <v>189</v>
      </c>
    </row>
    <row r="10" spans="1:16" ht="15.75" thickBot="1" x14ac:dyDescent="0.3">
      <c r="C10" t="s">
        <v>181</v>
      </c>
      <c r="D10" s="37">
        <v>4.3</v>
      </c>
      <c r="E10" t="s">
        <v>122</v>
      </c>
    </row>
    <row r="11" spans="1:16" x14ac:dyDescent="0.25">
      <c r="C11" t="s">
        <v>182</v>
      </c>
      <c r="D11" s="37">
        <v>3.4</v>
      </c>
      <c r="E11" t="s">
        <v>122</v>
      </c>
      <c r="I11" s="72" t="s">
        <v>156</v>
      </c>
      <c r="J11" s="64"/>
      <c r="K11" s="64"/>
      <c r="L11" s="64"/>
      <c r="M11" s="73">
        <f>M6/D7</f>
        <v>5.8760838300263183</v>
      </c>
      <c r="N11" s="74" t="s">
        <v>141</v>
      </c>
    </row>
    <row r="12" spans="1:16" x14ac:dyDescent="0.25">
      <c r="A12" t="s">
        <v>188</v>
      </c>
      <c r="C12" t="s">
        <v>121</v>
      </c>
      <c r="D12" s="36">
        <v>10</v>
      </c>
      <c r="E12" t="s">
        <v>122</v>
      </c>
      <c r="I12" s="28" t="s">
        <v>153</v>
      </c>
      <c r="J12" s="39"/>
      <c r="K12" s="39"/>
      <c r="L12" s="39"/>
      <c r="M12" s="68">
        <f>M7/D8</f>
        <v>2.5</v>
      </c>
      <c r="N12" s="69" t="s">
        <v>141</v>
      </c>
    </row>
    <row r="13" spans="1:16" ht="15.75" thickBot="1" x14ac:dyDescent="0.3">
      <c r="C13" s="2" t="s">
        <v>7</v>
      </c>
      <c r="D13" s="38">
        <v>680</v>
      </c>
      <c r="E13" t="s">
        <v>66</v>
      </c>
      <c r="I13" s="30" t="s">
        <v>140</v>
      </c>
      <c r="J13" s="66"/>
      <c r="K13" s="66"/>
      <c r="L13" s="66"/>
      <c r="M13" s="70">
        <f>M5/(D7+D8)</f>
        <v>5.6650785906496735</v>
      </c>
      <c r="N13" s="67" t="s">
        <v>141</v>
      </c>
    </row>
    <row r="14" spans="1:16" ht="15.75" thickBot="1" x14ac:dyDescent="0.3">
      <c r="C14" t="s">
        <v>97</v>
      </c>
      <c r="D14" s="38">
        <v>690</v>
      </c>
      <c r="E14" t="s">
        <v>98</v>
      </c>
    </row>
    <row r="15" spans="1:16" x14ac:dyDescent="0.25">
      <c r="C15" t="s">
        <v>25</v>
      </c>
      <c r="D15" s="38">
        <v>150</v>
      </c>
      <c r="E15" t="s">
        <v>98</v>
      </c>
      <c r="I15" s="63" t="s">
        <v>123</v>
      </c>
      <c r="J15" s="64"/>
      <c r="K15" s="64"/>
      <c r="L15" s="64"/>
      <c r="M15" s="90">
        <v>2</v>
      </c>
      <c r="N15" s="65" t="s">
        <v>35</v>
      </c>
    </row>
    <row r="16" spans="1:16" ht="15.75" thickBot="1" x14ac:dyDescent="0.3">
      <c r="C16" t="s">
        <v>22</v>
      </c>
      <c r="D16" s="38">
        <v>0.25</v>
      </c>
      <c r="E16" t="s">
        <v>118</v>
      </c>
      <c r="I16" s="30"/>
      <c r="J16" s="66"/>
      <c r="K16" s="66"/>
      <c r="L16" s="66"/>
      <c r="M16" s="91">
        <f>(D57*D76*D3/1000)/0.8</f>
        <v>12.074999999999999</v>
      </c>
      <c r="N16" s="67" t="s">
        <v>183</v>
      </c>
    </row>
    <row r="17" spans="1:12" x14ac:dyDescent="0.25">
      <c r="C17" t="s">
        <v>71</v>
      </c>
      <c r="D17" s="38">
        <v>0.45</v>
      </c>
      <c r="E17" t="s">
        <v>137</v>
      </c>
    </row>
    <row r="18" spans="1:12" x14ac:dyDescent="0.25">
      <c r="C18" t="s">
        <v>180</v>
      </c>
      <c r="D18" s="17">
        <f>D35</f>
        <v>32.576935219417379</v>
      </c>
      <c r="E18" t="s">
        <v>67</v>
      </c>
    </row>
    <row r="19" spans="1:12" x14ac:dyDescent="0.25">
      <c r="C19" t="s">
        <v>72</v>
      </c>
      <c r="D19" s="38">
        <v>0.35</v>
      </c>
      <c r="E19" t="s">
        <v>73</v>
      </c>
    </row>
    <row r="20" spans="1:12" x14ac:dyDescent="0.25">
      <c r="A20" s="15"/>
      <c r="C20" t="s">
        <v>101</v>
      </c>
      <c r="D20" s="38">
        <v>10.4</v>
      </c>
      <c r="E20" t="s">
        <v>68</v>
      </c>
      <c r="I20" s="61" t="s">
        <v>173</v>
      </c>
      <c r="J20" s="104">
        <v>21.8</v>
      </c>
      <c r="K20" s="61" t="s">
        <v>190</v>
      </c>
    </row>
    <row r="21" spans="1:12" x14ac:dyDescent="0.25">
      <c r="C21" t="s">
        <v>108</v>
      </c>
      <c r="D21" s="43">
        <f>P80</f>
        <v>9.7243091360682428</v>
      </c>
      <c r="E21" t="s">
        <v>68</v>
      </c>
      <c r="I21" t="s">
        <v>173</v>
      </c>
      <c r="J21" s="75">
        <f>D46</f>
        <v>21.795683196543912</v>
      </c>
      <c r="K21" t="s">
        <v>174</v>
      </c>
    </row>
    <row r="22" spans="1:12" x14ac:dyDescent="0.25">
      <c r="C22" t="s">
        <v>47</v>
      </c>
      <c r="D22" s="38">
        <v>0.05</v>
      </c>
      <c r="E22" t="s">
        <v>48</v>
      </c>
    </row>
    <row r="23" spans="1:12" x14ac:dyDescent="0.25">
      <c r="C23" t="s">
        <v>119</v>
      </c>
      <c r="D23" s="89">
        <f>I45</f>
        <v>11.691405</v>
      </c>
      <c r="E23" t="s">
        <v>179</v>
      </c>
    </row>
    <row r="24" spans="1:12" ht="15.75" thickBot="1" x14ac:dyDescent="0.3">
      <c r="C24" s="19" t="s">
        <v>120</v>
      </c>
      <c r="D24" s="57">
        <f>I49</f>
        <v>161.49074999999999</v>
      </c>
      <c r="E24" t="s">
        <v>50</v>
      </c>
    </row>
    <row r="25" spans="1:12" s="19" customFormat="1" ht="16.5" thickTop="1" thickBot="1" x14ac:dyDescent="0.3"/>
    <row r="26" spans="1:12" s="39" customFormat="1" ht="15.75" thickTop="1" x14ac:dyDescent="0.25">
      <c r="A26" s="41" t="s">
        <v>170</v>
      </c>
      <c r="D26" s="40"/>
    </row>
    <row r="27" spans="1:12" s="39" customFormat="1" x14ac:dyDescent="0.25">
      <c r="A27" s="96" t="s">
        <v>185</v>
      </c>
      <c r="C27" s="95"/>
      <c r="D27" s="40"/>
    </row>
    <row r="28" spans="1:12" x14ac:dyDescent="0.25">
      <c r="B28" s="1"/>
      <c r="C28" s="2"/>
    </row>
    <row r="29" spans="1:12" x14ac:dyDescent="0.25">
      <c r="A29" s="16" t="s">
        <v>38</v>
      </c>
      <c r="B29" s="1"/>
      <c r="C29" s="2"/>
    </row>
    <row r="30" spans="1:12" x14ac:dyDescent="0.25">
      <c r="B30" s="1"/>
      <c r="C30" s="2"/>
    </row>
    <row r="31" spans="1:12" x14ac:dyDescent="0.25">
      <c r="L31" t="s">
        <v>77</v>
      </c>
    </row>
    <row r="32" spans="1:12" x14ac:dyDescent="0.25">
      <c r="B32" s="1" t="s">
        <v>0</v>
      </c>
      <c r="C32" s="2" t="s">
        <v>1</v>
      </c>
      <c r="D32" s="59">
        <f>D6*(383*D10+242*D11+783.3)/3140</f>
        <v>10587.503946310648</v>
      </c>
      <c r="E32" t="s">
        <v>178</v>
      </c>
      <c r="G32" s="1" t="s">
        <v>37</v>
      </c>
      <c r="I32" t="s">
        <v>129</v>
      </c>
      <c r="L32" t="s">
        <v>79</v>
      </c>
    </row>
    <row r="33" spans="2:12" x14ac:dyDescent="0.25">
      <c r="B33" s="1"/>
      <c r="C33" s="2" t="s">
        <v>13</v>
      </c>
      <c r="D33" s="3">
        <v>5.2</v>
      </c>
      <c r="H33" t="s">
        <v>16</v>
      </c>
      <c r="I33">
        <f>0.016*D14</f>
        <v>11.040000000000001</v>
      </c>
    </row>
    <row r="34" spans="2:12" x14ac:dyDescent="0.25">
      <c r="B34" s="1"/>
      <c r="C34" s="2" t="s">
        <v>2</v>
      </c>
      <c r="D34" s="4">
        <v>325</v>
      </c>
      <c r="H34" t="s">
        <v>18</v>
      </c>
      <c r="I34">
        <v>13.2</v>
      </c>
    </row>
    <row r="35" spans="2:12" x14ac:dyDescent="0.25">
      <c r="B35" s="1"/>
      <c r="C35" s="82" t="s">
        <v>3</v>
      </c>
      <c r="D35" s="87">
        <f>D32/D34</f>
        <v>32.576935219417379</v>
      </c>
      <c r="E35" s="88"/>
      <c r="H35" t="s">
        <v>19</v>
      </c>
      <c r="I35">
        <v>11.4</v>
      </c>
    </row>
    <row r="36" spans="2:12" x14ac:dyDescent="0.25">
      <c r="B36" s="1"/>
      <c r="C36" s="2" t="s">
        <v>4</v>
      </c>
      <c r="D36" s="3">
        <f>D6/D34</f>
        <v>31.445304822923628</v>
      </c>
      <c r="H36" t="s">
        <v>20</v>
      </c>
      <c r="I36">
        <v>115</v>
      </c>
    </row>
    <row r="37" spans="2:12" x14ac:dyDescent="0.25">
      <c r="B37" s="1" t="s">
        <v>5</v>
      </c>
      <c r="C37" s="2"/>
      <c r="D37" s="3"/>
      <c r="H37" t="s">
        <v>21</v>
      </c>
      <c r="I37">
        <v>379</v>
      </c>
    </row>
    <row r="38" spans="2:12" x14ac:dyDescent="0.25">
      <c r="B38" s="2"/>
      <c r="C38" s="2" t="s">
        <v>6</v>
      </c>
      <c r="D38" s="3">
        <f>D35*5.15</f>
        <v>167.77121637999952</v>
      </c>
      <c r="H38" t="s">
        <v>15</v>
      </c>
      <c r="I38">
        <f>(1-D16)*I34+D16*I35</f>
        <v>12.749999999999998</v>
      </c>
      <c r="J38" t="s">
        <v>130</v>
      </c>
    </row>
    <row r="39" spans="2:12" x14ac:dyDescent="0.25">
      <c r="B39" s="1"/>
      <c r="C39" s="2" t="s">
        <v>8</v>
      </c>
      <c r="D39" s="58">
        <f>D13^0.75*0.515</f>
        <v>68.578647154504651</v>
      </c>
      <c r="H39" t="s">
        <v>23</v>
      </c>
      <c r="I39">
        <f>(1-D16)*I36+D16*I37</f>
        <v>181</v>
      </c>
      <c r="J39" t="s">
        <v>130</v>
      </c>
    </row>
    <row r="40" spans="2:12" x14ac:dyDescent="0.25">
      <c r="B40" s="5"/>
      <c r="C40" s="5" t="s">
        <v>9</v>
      </c>
      <c r="D40" s="6">
        <f>(50*6)/D34</f>
        <v>0.92307692307692313</v>
      </c>
      <c r="H40" t="s">
        <v>131</v>
      </c>
      <c r="I40">
        <v>96</v>
      </c>
    </row>
    <row r="41" spans="2:12" x14ac:dyDescent="0.25">
      <c r="B41" s="1"/>
      <c r="C41" s="2" t="s">
        <v>10</v>
      </c>
      <c r="D41" s="3">
        <f>D38+D39+D40</f>
        <v>237.27294045758109</v>
      </c>
      <c r="H41" t="s">
        <v>132</v>
      </c>
      <c r="I41">
        <v>169</v>
      </c>
    </row>
    <row r="42" spans="2:12" x14ac:dyDescent="0.25">
      <c r="B42" s="1"/>
      <c r="C42" s="2" t="s">
        <v>117</v>
      </c>
      <c r="D42" s="3">
        <f>D41*D34</f>
        <v>77113.705648713847</v>
      </c>
      <c r="H42" t="s">
        <v>133</v>
      </c>
      <c r="I42">
        <v>84</v>
      </c>
    </row>
    <row r="43" spans="2:12" x14ac:dyDescent="0.25">
      <c r="B43" s="7"/>
      <c r="C43" s="2"/>
      <c r="D43" s="8"/>
      <c r="H43" t="s">
        <v>135</v>
      </c>
      <c r="I43">
        <f>D16*I41+(1-D16)*I40</f>
        <v>114.25</v>
      </c>
    </row>
    <row r="44" spans="2:12" x14ac:dyDescent="0.25">
      <c r="B44" s="1" t="s">
        <v>14</v>
      </c>
      <c r="C44" s="9" t="s">
        <v>11</v>
      </c>
      <c r="D44" s="60">
        <f>I54</f>
        <v>10.886235513608716</v>
      </c>
    </row>
    <row r="45" spans="2:12" x14ac:dyDescent="0.25">
      <c r="C45" s="9"/>
      <c r="D45" s="10"/>
      <c r="H45" t="s">
        <v>17</v>
      </c>
      <c r="I45" s="14">
        <f>(D17*I38+(1-D17)*I33)*0.99</f>
        <v>11.691405</v>
      </c>
      <c r="J45" t="s">
        <v>28</v>
      </c>
      <c r="L45" t="s">
        <v>128</v>
      </c>
    </row>
    <row r="46" spans="2:12" x14ac:dyDescent="0.25">
      <c r="C46" s="2" t="s">
        <v>12</v>
      </c>
      <c r="D46" s="11">
        <f>D41/D44</f>
        <v>21.795683196543912</v>
      </c>
      <c r="H46" t="s">
        <v>134</v>
      </c>
      <c r="I46" s="14">
        <f>(D17*I43+(1-D17)*I42)*0.99</f>
        <v>96.636375000000015</v>
      </c>
      <c r="J46" t="s">
        <v>136</v>
      </c>
    </row>
    <row r="47" spans="2:12" x14ac:dyDescent="0.25">
      <c r="C47" s="2" t="s">
        <v>33</v>
      </c>
      <c r="D47" s="13">
        <f>(1-D17)*D46</f>
        <v>11.987625758099153</v>
      </c>
      <c r="E47" t="s">
        <v>35</v>
      </c>
      <c r="H47" s="76" t="s">
        <v>171</v>
      </c>
      <c r="I47" s="77">
        <f>I46*D46</f>
        <v>2106.2558147624163</v>
      </c>
      <c r="J47" s="78" t="s">
        <v>163</v>
      </c>
    </row>
    <row r="48" spans="2:12" x14ac:dyDescent="0.25">
      <c r="C48" s="2" t="s">
        <v>126</v>
      </c>
      <c r="D48" s="13">
        <f>D17*D46-D51</f>
        <v>9.6080574384447619</v>
      </c>
      <c r="E48" t="s">
        <v>35</v>
      </c>
      <c r="H48" s="79" t="s">
        <v>172</v>
      </c>
      <c r="I48" s="80">
        <f>'OIV tarve'!D10-Rehuntarve!I47</f>
        <v>-8.9973938167563574</v>
      </c>
      <c r="J48" s="81" t="s">
        <v>163</v>
      </c>
    </row>
    <row r="49" spans="1:12" x14ac:dyDescent="0.25">
      <c r="C49" s="2" t="s">
        <v>34</v>
      </c>
      <c r="D49" s="13">
        <f>D16*D48</f>
        <v>2.4020143596111905</v>
      </c>
      <c r="E49" t="s">
        <v>35</v>
      </c>
      <c r="H49" t="s">
        <v>24</v>
      </c>
      <c r="I49" s="13">
        <f>(D17*I39+(1-D17)*D15)*0.985</f>
        <v>161.49074999999999</v>
      </c>
    </row>
    <row r="50" spans="1:12" x14ac:dyDescent="0.25">
      <c r="C50" s="2" t="s">
        <v>125</v>
      </c>
      <c r="D50" s="13">
        <f>(1-D16)*D48</f>
        <v>7.2060430788335719</v>
      </c>
      <c r="E50" t="s">
        <v>35</v>
      </c>
      <c r="K50" s="61"/>
    </row>
    <row r="51" spans="1:12" x14ac:dyDescent="0.25">
      <c r="C51" s="2" t="s">
        <v>127</v>
      </c>
      <c r="D51">
        <v>0.2</v>
      </c>
      <c r="E51" t="s">
        <v>35</v>
      </c>
      <c r="H51" t="s">
        <v>30</v>
      </c>
      <c r="I51" s="13">
        <f>J20*I45</f>
        <v>254.87262899999999</v>
      </c>
      <c r="J51" t="s">
        <v>27</v>
      </c>
    </row>
    <row r="52" spans="1:12" ht="17.25" x14ac:dyDescent="0.25">
      <c r="C52" s="2" t="s">
        <v>33</v>
      </c>
      <c r="D52" s="15">
        <f>D47*D34*D3</f>
        <v>467517.40456586698</v>
      </c>
      <c r="E52" t="s">
        <v>93</v>
      </c>
      <c r="H52" t="s">
        <v>32</v>
      </c>
      <c r="I52" s="13">
        <f>-56.7+6.99*I45+1.621*J20-0.44595*I49+0.00112*I49*I49</f>
        <v>17.552694803329992</v>
      </c>
      <c r="L52" s="12" t="s">
        <v>26</v>
      </c>
    </row>
    <row r="53" spans="1:12" x14ac:dyDescent="0.25">
      <c r="C53" s="2" t="s">
        <v>51</v>
      </c>
      <c r="D53" s="15">
        <f>D48*D34*D3</f>
        <v>374714.24009934568</v>
      </c>
      <c r="E53" t="s">
        <v>93</v>
      </c>
      <c r="H53" t="s">
        <v>29</v>
      </c>
      <c r="I53" s="13">
        <f>I51-I52</f>
        <v>237.31993419667</v>
      </c>
    </row>
    <row r="54" spans="1:12" x14ac:dyDescent="0.25">
      <c r="C54" s="2" t="s">
        <v>34</v>
      </c>
      <c r="D54" s="15">
        <f>D49*D34*D3</f>
        <v>93678.560024836421</v>
      </c>
      <c r="E54" t="s">
        <v>93</v>
      </c>
      <c r="H54" t="s">
        <v>31</v>
      </c>
      <c r="I54" s="13">
        <f>I53/J20</f>
        <v>10.886235513608716</v>
      </c>
    </row>
    <row r="55" spans="1:12" x14ac:dyDescent="0.25">
      <c r="H55" t="s">
        <v>124</v>
      </c>
      <c r="I55" s="13">
        <f>D35/J20</f>
        <v>1.4943548265787787</v>
      </c>
    </row>
    <row r="56" spans="1:12" x14ac:dyDescent="0.25">
      <c r="A56" s="16" t="s">
        <v>39</v>
      </c>
    </row>
    <row r="57" spans="1:12" x14ac:dyDescent="0.25">
      <c r="C57" t="s">
        <v>40</v>
      </c>
      <c r="D57" s="13">
        <f>365.25-D34</f>
        <v>40.25</v>
      </c>
    </row>
    <row r="58" spans="1:12" x14ac:dyDescent="0.25">
      <c r="C58" t="s">
        <v>41</v>
      </c>
      <c r="D58" s="56">
        <v>44.3</v>
      </c>
    </row>
    <row r="59" spans="1:12" x14ac:dyDescent="0.25">
      <c r="C59" t="s">
        <v>148</v>
      </c>
      <c r="D59" s="56">
        <v>0.73</v>
      </c>
      <c r="E59" t="s">
        <v>147</v>
      </c>
    </row>
    <row r="60" spans="1:12" x14ac:dyDescent="0.25">
      <c r="C60" t="s">
        <v>7</v>
      </c>
      <c r="D60" s="56">
        <f>D13</f>
        <v>680</v>
      </c>
    </row>
    <row r="61" spans="1:12" x14ac:dyDescent="0.25">
      <c r="C61" t="s">
        <v>99</v>
      </c>
      <c r="D61" s="17">
        <f>D60^0.75*0.515*1.1</f>
        <v>75.436511869955126</v>
      </c>
      <c r="E61" t="s">
        <v>100</v>
      </c>
    </row>
    <row r="62" spans="1:12" x14ac:dyDescent="0.25">
      <c r="C62" t="s">
        <v>42</v>
      </c>
      <c r="D62" s="18">
        <v>1948</v>
      </c>
      <c r="E62" t="s">
        <v>58</v>
      </c>
    </row>
    <row r="63" spans="1:12" x14ac:dyDescent="0.25">
      <c r="C63" t="s">
        <v>44</v>
      </c>
      <c r="D63" s="18">
        <f>D62*D59/D57</f>
        <v>35.330186335403724</v>
      </c>
      <c r="E63" t="s">
        <v>45</v>
      </c>
    </row>
    <row r="64" spans="1:12" x14ac:dyDescent="0.25">
      <c r="C64" t="s">
        <v>110</v>
      </c>
      <c r="D64" s="18">
        <f>D61+D63</f>
        <v>110.76669820535885</v>
      </c>
      <c r="E64" t="s">
        <v>45</v>
      </c>
    </row>
    <row r="65" spans="1:19" x14ac:dyDescent="0.25">
      <c r="C65" t="s">
        <v>111</v>
      </c>
      <c r="D65" s="18">
        <f>D64-D76*N80</f>
        <v>98.76669820535885</v>
      </c>
      <c r="E65" t="s">
        <v>149</v>
      </c>
    </row>
    <row r="67" spans="1:19" x14ac:dyDescent="0.25">
      <c r="C67" t="s">
        <v>107</v>
      </c>
      <c r="D67" s="52">
        <f>D20</f>
        <v>10.4</v>
      </c>
    </row>
    <row r="68" spans="1:19" x14ac:dyDescent="0.25">
      <c r="C68" t="s">
        <v>112</v>
      </c>
      <c r="D68" s="52">
        <f>D22*M80+(1-D22)*D67</f>
        <v>10.517499999999998</v>
      </c>
    </row>
    <row r="69" spans="1:19" x14ac:dyDescent="0.25">
      <c r="C69" t="s">
        <v>43</v>
      </c>
      <c r="D69" s="53"/>
      <c r="E69" t="s">
        <v>50</v>
      </c>
    </row>
    <row r="70" spans="1:19" x14ac:dyDescent="0.25">
      <c r="C70" t="s">
        <v>106</v>
      </c>
      <c r="D70" s="54">
        <f>D65/D68</f>
        <v>9.3907010416314591</v>
      </c>
      <c r="E70" t="s">
        <v>70</v>
      </c>
    </row>
    <row r="71" spans="1:19" x14ac:dyDescent="0.25">
      <c r="C71" t="s">
        <v>33</v>
      </c>
      <c r="D71" s="54">
        <f>(1-D22)*D70</f>
        <v>8.9211659895498858</v>
      </c>
      <c r="E71" t="s">
        <v>70</v>
      </c>
    </row>
    <row r="72" spans="1:19" x14ac:dyDescent="0.25">
      <c r="C72" t="s">
        <v>144</v>
      </c>
      <c r="D72" s="54">
        <f>D22*D70</f>
        <v>0.46953505208157298</v>
      </c>
      <c r="E72" t="s">
        <v>70</v>
      </c>
    </row>
    <row r="73" spans="1:19" x14ac:dyDescent="0.25">
      <c r="C73" t="s">
        <v>33</v>
      </c>
      <c r="D73" s="54">
        <f>D57*D71*D3</f>
        <v>43089.231729525949</v>
      </c>
      <c r="E73" t="s">
        <v>94</v>
      </c>
    </row>
    <row r="74" spans="1:19" x14ac:dyDescent="0.25">
      <c r="C74" t="s">
        <v>144</v>
      </c>
      <c r="D74" s="54">
        <f>D57*D72*D3</f>
        <v>2267.8543015539976</v>
      </c>
      <c r="E74" t="s">
        <v>94</v>
      </c>
      <c r="H74" s="61" t="s">
        <v>146</v>
      </c>
    </row>
    <row r="75" spans="1:19" x14ac:dyDescent="0.25">
      <c r="C75" t="s">
        <v>145</v>
      </c>
      <c r="D75" s="54">
        <f>(1-D16)*D74</f>
        <v>1700.8907261654981</v>
      </c>
    </row>
    <row r="76" spans="1:19" x14ac:dyDescent="0.25">
      <c r="C76" s="42" t="s">
        <v>102</v>
      </c>
      <c r="D76" s="55">
        <f>M15</f>
        <v>2</v>
      </c>
      <c r="E76" s="51" t="s">
        <v>109</v>
      </c>
    </row>
    <row r="78" spans="1:19" x14ac:dyDescent="0.25">
      <c r="A78" s="16" t="s">
        <v>95</v>
      </c>
      <c r="J78" t="s">
        <v>186</v>
      </c>
      <c r="M78" t="s">
        <v>113</v>
      </c>
    </row>
    <row r="79" spans="1:19" x14ac:dyDescent="0.25">
      <c r="D79" t="s">
        <v>52</v>
      </c>
      <c r="E79" s="20" t="s">
        <v>53</v>
      </c>
      <c r="F79" t="s">
        <v>54</v>
      </c>
      <c r="J79" s="56" t="s">
        <v>80</v>
      </c>
      <c r="K79" s="56" t="s">
        <v>81</v>
      </c>
      <c r="M79" s="44" t="s">
        <v>114</v>
      </c>
      <c r="N79" s="45" t="s">
        <v>103</v>
      </c>
      <c r="O79" s="45" t="s">
        <v>104</v>
      </c>
      <c r="P79" s="46" t="s">
        <v>105</v>
      </c>
      <c r="R79" s="62" t="s">
        <v>150</v>
      </c>
      <c r="S79" s="62" t="s">
        <v>151</v>
      </c>
    </row>
    <row r="80" spans="1:19" ht="15.75" thickBot="1" x14ac:dyDescent="0.3">
      <c r="D80" s="21">
        <v>182</v>
      </c>
      <c r="E80" s="21">
        <f>365-183</f>
        <v>182</v>
      </c>
      <c r="F80" s="21">
        <v>451</v>
      </c>
      <c r="G80" t="s">
        <v>116</v>
      </c>
      <c r="J80" s="56">
        <f>SUM(D80:F80)</f>
        <v>815</v>
      </c>
      <c r="K80" s="17">
        <f>J80/365.25</f>
        <v>2.2313483915126624</v>
      </c>
      <c r="M80" s="47">
        <f>D16*S80+(1-D16)*R80</f>
        <v>12.749999999999998</v>
      </c>
      <c r="N80" s="48">
        <v>6</v>
      </c>
      <c r="O80" s="49">
        <f>D70*D68+N80*D76</f>
        <v>110.76669820535885</v>
      </c>
      <c r="P80" s="50">
        <f>O80/(D76+D70)</f>
        <v>9.7243091360682428</v>
      </c>
      <c r="R80">
        <v>13.2</v>
      </c>
      <c r="S80">
        <v>11.4</v>
      </c>
    </row>
    <row r="81" spans="3:7" x14ac:dyDescent="0.25">
      <c r="D81" s="22" t="s">
        <v>55</v>
      </c>
      <c r="E81" s="22" t="s">
        <v>56</v>
      </c>
      <c r="F81" s="22" t="s">
        <v>57</v>
      </c>
    </row>
    <row r="82" spans="3:7" x14ac:dyDescent="0.25">
      <c r="C82" t="s">
        <v>62</v>
      </c>
      <c r="D82" s="23">
        <v>40</v>
      </c>
      <c r="E82" s="24">
        <v>193</v>
      </c>
      <c r="F82" s="23">
        <v>339</v>
      </c>
      <c r="G82" t="s">
        <v>66</v>
      </c>
    </row>
    <row r="83" spans="3:7" x14ac:dyDescent="0.25">
      <c r="C83" t="s">
        <v>63</v>
      </c>
      <c r="D83" s="23">
        <v>0.84</v>
      </c>
      <c r="E83" s="23">
        <v>0.8</v>
      </c>
      <c r="F83" s="23">
        <v>0.43</v>
      </c>
      <c r="G83" t="s">
        <v>67</v>
      </c>
    </row>
    <row r="84" spans="3:7" x14ac:dyDescent="0.25">
      <c r="C84" t="s">
        <v>64</v>
      </c>
      <c r="D84" s="24">
        <v>193</v>
      </c>
      <c r="E84" s="24">
        <v>339</v>
      </c>
      <c r="F84" s="23">
        <v>533</v>
      </c>
      <c r="G84" t="s">
        <v>66</v>
      </c>
    </row>
    <row r="85" spans="3:7" x14ac:dyDescent="0.25">
      <c r="C85" t="s">
        <v>60</v>
      </c>
      <c r="D85" s="25">
        <f>A80/182*A85+B80/182*B85</f>
        <v>0</v>
      </c>
      <c r="E85" s="24">
        <f>(E82+E84)/2</f>
        <v>266</v>
      </c>
      <c r="F85" s="24">
        <f>(F82+F84)/2</f>
        <v>436</v>
      </c>
      <c r="G85" t="s">
        <v>66</v>
      </c>
    </row>
    <row r="86" spans="3:7" x14ac:dyDescent="0.25">
      <c r="C86" t="s">
        <v>61</v>
      </c>
      <c r="D86" s="25">
        <v>43</v>
      </c>
      <c r="E86" s="24">
        <v>64</v>
      </c>
      <c r="F86" s="24">
        <f>73+4</f>
        <v>77</v>
      </c>
      <c r="G86" t="s">
        <v>59</v>
      </c>
    </row>
    <row r="88" spans="3:7" x14ac:dyDescent="0.25">
      <c r="C88" t="s">
        <v>65</v>
      </c>
      <c r="D88">
        <v>11.7</v>
      </c>
      <c r="E88">
        <v>10.6</v>
      </c>
      <c r="F88">
        <v>10.584999999999999</v>
      </c>
      <c r="G88" t="s">
        <v>68</v>
      </c>
    </row>
    <row r="89" spans="3:7" x14ac:dyDescent="0.25">
      <c r="C89" t="s">
        <v>46</v>
      </c>
      <c r="D89" s="14">
        <f>D86/D88</f>
        <v>3.6752136752136755</v>
      </c>
      <c r="E89" s="14">
        <f>E86/E88</f>
        <v>6.0377358490566042</v>
      </c>
      <c r="F89" s="14">
        <f>F86/F88</f>
        <v>7.2744449692961748</v>
      </c>
      <c r="G89" t="s">
        <v>69</v>
      </c>
    </row>
    <row r="90" spans="3:7" x14ac:dyDescent="0.25">
      <c r="C90" t="s">
        <v>71</v>
      </c>
      <c r="D90">
        <f>1-(0.65*0.66)</f>
        <v>0.57099999999999995</v>
      </c>
      <c r="E90">
        <v>0</v>
      </c>
      <c r="F90">
        <v>0.1</v>
      </c>
    </row>
    <row r="92" spans="3:7" x14ac:dyDescent="0.25">
      <c r="C92" t="s">
        <v>33</v>
      </c>
      <c r="D92" s="13">
        <f>(1-D90)*D89</f>
        <v>1.5766666666666669</v>
      </c>
      <c r="E92" s="13">
        <f t="shared" ref="E92:F92" si="0">(1-E90)*E89</f>
        <v>6.0377358490566042</v>
      </c>
      <c r="F92" s="13">
        <f t="shared" si="0"/>
        <v>6.5470004723665571</v>
      </c>
      <c r="G92" t="s">
        <v>35</v>
      </c>
    </row>
    <row r="93" spans="3:7" x14ac:dyDescent="0.25">
      <c r="C93" t="s">
        <v>51</v>
      </c>
      <c r="D93" s="13">
        <f>D90*D89</f>
        <v>2.0985470085470084</v>
      </c>
      <c r="E93" s="13">
        <f t="shared" ref="E93:F93" si="1">E90*E89</f>
        <v>0</v>
      </c>
      <c r="F93" s="13">
        <f t="shared" si="1"/>
        <v>0.72744449692961755</v>
      </c>
      <c r="G93" t="s">
        <v>49</v>
      </c>
    </row>
    <row r="94" spans="3:7" x14ac:dyDescent="0.25">
      <c r="C94" t="s">
        <v>78</v>
      </c>
      <c r="D94" s="13">
        <f>D80/$J$80</f>
        <v>0.22331288343558281</v>
      </c>
      <c r="E94" s="13">
        <f t="shared" ref="E94:F94" si="2">E80/$J$80</f>
        <v>0.22331288343558281</v>
      </c>
      <c r="F94" s="13">
        <f t="shared" si="2"/>
        <v>0.55337423312883438</v>
      </c>
      <c r="G94" t="s">
        <v>73</v>
      </c>
    </row>
    <row r="96" spans="3:7" x14ac:dyDescent="0.25">
      <c r="C96" t="s">
        <v>33</v>
      </c>
      <c r="D96" s="14">
        <f>D94*D92+E94*E92+F94*F92</f>
        <v>5.3233355471152795</v>
      </c>
      <c r="E96" t="s">
        <v>35</v>
      </c>
      <c r="F96" t="s">
        <v>85</v>
      </c>
    </row>
    <row r="97" spans="3:6" x14ac:dyDescent="0.25">
      <c r="C97" t="s">
        <v>51</v>
      </c>
      <c r="D97" s="14">
        <f>E94*E93+F94*F93</f>
        <v>0.4025490406322178</v>
      </c>
      <c r="E97" t="s">
        <v>35</v>
      </c>
      <c r="F97" t="s">
        <v>115</v>
      </c>
    </row>
    <row r="99" spans="3:6" x14ac:dyDescent="0.25">
      <c r="C99" t="s">
        <v>74</v>
      </c>
      <c r="D99" s="13">
        <f>D3*D19*K80</f>
        <v>93.716632443531822</v>
      </c>
      <c r="E99" t="s">
        <v>84</v>
      </c>
    </row>
    <row r="100" spans="3:6" x14ac:dyDescent="0.25">
      <c r="C100" t="s">
        <v>82</v>
      </c>
      <c r="D100" s="13">
        <f>(E94+F94)*D99*1.05</f>
        <v>76.427926078028747</v>
      </c>
      <c r="E100" t="s">
        <v>83</v>
      </c>
    </row>
    <row r="102" spans="3:6" x14ac:dyDescent="0.25">
      <c r="C102" t="s">
        <v>33</v>
      </c>
      <c r="D102" s="14">
        <f>D100*D96</f>
        <v>406.8514956834693</v>
      </c>
      <c r="E102" t="s">
        <v>86</v>
      </c>
    </row>
    <row r="103" spans="3:6" x14ac:dyDescent="0.25">
      <c r="C103" t="s">
        <v>51</v>
      </c>
      <c r="D103" s="14">
        <f>D100*D97</f>
        <v>30.765988320220533</v>
      </c>
      <c r="E103" t="s">
        <v>86</v>
      </c>
    </row>
    <row r="105" spans="3:6" x14ac:dyDescent="0.25">
      <c r="C105" t="s">
        <v>33</v>
      </c>
      <c r="D105" s="15">
        <f>D102*365.25</f>
        <v>148602.50879838716</v>
      </c>
      <c r="E105" t="s">
        <v>87</v>
      </c>
    </row>
    <row r="106" spans="3:6" x14ac:dyDescent="0.25">
      <c r="C106" t="s">
        <v>51</v>
      </c>
      <c r="D106" s="15">
        <f>D103*365.25</f>
        <v>11237.277233960549</v>
      </c>
      <c r="E106" t="s">
        <v>87</v>
      </c>
      <c r="F106" s="61" t="s">
        <v>146</v>
      </c>
    </row>
  </sheetData>
  <sheetProtection sheet="1" objects="1" scenarios="1"/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L10"/>
  <sheetViews>
    <sheetView workbookViewId="0">
      <selection activeCell="D4" sqref="D4"/>
    </sheetView>
  </sheetViews>
  <sheetFormatPr defaultRowHeight="15" x14ac:dyDescent="0.25"/>
  <cols>
    <col min="3" max="3" width="19.85546875" customWidth="1"/>
  </cols>
  <sheetData>
    <row r="4" spans="3:12" x14ac:dyDescent="0.25">
      <c r="C4" t="s">
        <v>7</v>
      </c>
      <c r="D4">
        <f>Rehuntarve!D13</f>
        <v>680</v>
      </c>
      <c r="E4" t="s">
        <v>66</v>
      </c>
    </row>
    <row r="5" spans="3:12" x14ac:dyDescent="0.25">
      <c r="C5" t="s">
        <v>160</v>
      </c>
      <c r="D5" s="15">
        <f>1.8*POWER(D4,0.75)+14*Rehuntarve!D46</f>
        <v>544.83192373823294</v>
      </c>
      <c r="E5" t="s">
        <v>159</v>
      </c>
    </row>
    <row r="6" spans="3:12" x14ac:dyDescent="0.25">
      <c r="C6" t="s">
        <v>162</v>
      </c>
      <c r="D6" s="15">
        <f>Rehuntarve!D36*(Rehuntarve!D11/100)*1000</f>
        <v>1069.1403639794034</v>
      </c>
      <c r="E6" t="s">
        <v>163</v>
      </c>
    </row>
    <row r="7" spans="3:12" x14ac:dyDescent="0.25">
      <c r="C7" t="s">
        <v>161</v>
      </c>
      <c r="D7" s="15">
        <f>(1.47-0.0017*Rehuntarve!D35)*D6</f>
        <v>1512.4264972074268</v>
      </c>
      <c r="E7" t="s">
        <v>163</v>
      </c>
      <c r="G7" t="s">
        <v>167</v>
      </c>
      <c r="H7" t="s">
        <v>166</v>
      </c>
      <c r="I7" t="s">
        <v>165</v>
      </c>
      <c r="J7" t="s">
        <v>163</v>
      </c>
      <c r="K7" t="s">
        <v>163</v>
      </c>
      <c r="L7" t="s">
        <v>168</v>
      </c>
    </row>
    <row r="8" spans="3:12" x14ac:dyDescent="0.25">
      <c r="C8" t="s">
        <v>164</v>
      </c>
      <c r="D8">
        <v>40</v>
      </c>
      <c r="E8" t="s">
        <v>163</v>
      </c>
      <c r="G8">
        <v>75</v>
      </c>
      <c r="H8">
        <v>135</v>
      </c>
      <c r="I8">
        <v>205</v>
      </c>
      <c r="J8" s="15">
        <f>AVERAGE(G8:I8)</f>
        <v>138.33333333333334</v>
      </c>
      <c r="K8" s="15">
        <f>J8*L8</f>
        <v>39.58461538461539</v>
      </c>
      <c r="L8">
        <f>93/325</f>
        <v>0.28615384615384615</v>
      </c>
    </row>
    <row r="10" spans="3:12" x14ac:dyDescent="0.25">
      <c r="C10" t="s">
        <v>169</v>
      </c>
      <c r="D10" s="15">
        <f>D8+D7+D5</f>
        <v>2097.25842094566</v>
      </c>
      <c r="E10" t="s">
        <v>163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Rehuntarve</vt:lpstr>
      <vt:lpstr>OIV tarve</vt:lpstr>
      <vt:lpstr>Taul3</vt:lpstr>
    </vt:vector>
  </TitlesOfParts>
  <Company>LUKE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Auvo</dc:creator>
  <cp:lastModifiedBy>Sairanen Auvo (Luke)</cp:lastModifiedBy>
  <dcterms:created xsi:type="dcterms:W3CDTF">2020-09-11T06:03:23Z</dcterms:created>
  <dcterms:modified xsi:type="dcterms:W3CDTF">2023-01-17T05:46:41Z</dcterms:modified>
</cp:coreProperties>
</file>