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127"/>
  <workbookPr/>
  <mc:AlternateContent xmlns:mc="http://schemas.openxmlformats.org/markup-compatibility/2006">
    <mc:Choice Requires="x15">
      <x15ac:absPath xmlns:x15ac="http://schemas.microsoft.com/office/spreadsheetml/2010/11/ac" url="https://lukefinland-my.sharepoint.com/personal/paula_jylha_luke_fi/Documents/TURKE/"/>
    </mc:Choice>
  </mc:AlternateContent>
  <xr:revisionPtr revIDLastSave="5" documentId="8_{01D136F4-8764-454E-8A54-D174DC398DE3}" xr6:coauthVersionLast="47" xr6:coauthVersionMax="47" xr10:uidLastSave="{E5F7201F-DA17-4761-AFE8-92428A005CB2}"/>
  <workbookProtection workbookAlgorithmName="SHA-512" workbookHashValue="HPlpr2ZnK3zl2bSvDI3055Yj+8y3qozVDk2ZVSDlp0pf386GnVVlMWN785n3Fzx71OfJxb331YgRenScPrislA==" workbookSaltValue="nsdmLRXNuCqZEktOTpvFSQ==" workbookSpinCount="100000" lockStructure="1"/>
  <bookViews>
    <workbookView xWindow="-120" yWindow="-120" windowWidth="29040" windowHeight="17520" tabRatio="866" xr2:uid="{00000000-000D-0000-FFFF-FFFF00000000}"/>
  </bookViews>
  <sheets>
    <sheet name="Laskuri" sheetId="13" r:id="rId1"/>
    <sheet name="Tuotantoketjut" sheetId="15" r:id="rId2"/>
    <sheet name="Työkaluvälilehti" sheetId="1" state="hidden" r:id="rId3"/>
    <sheet name="Aurinkovoima ja vettäminen" sheetId="12" state="hidden" r:id="rId4"/>
    <sheet name="8 % korko" sheetId="14" state="hidden" r:id="rId5"/>
    <sheet name="7 % korko" sheetId="2" state="hidden" r:id="rId6"/>
    <sheet name="6 % korko" sheetId="4" state="hidden" r:id="rId7"/>
    <sheet name="5 % korko" sheetId="5" state="hidden" r:id="rId8"/>
    <sheet name="4 % korko" sheetId="6" state="hidden" r:id="rId9"/>
    <sheet name="3 % korko" sheetId="7" state="hidden" r:id="rId10"/>
    <sheet name="2 % korko" sheetId="8" state="hidden" r:id="rId11"/>
    <sheet name="1 % korko" sheetId="9" state="hidden" r:id="rId12"/>
    <sheet name="0 % korko" sheetId="3" state="hidden" r:id="rId13"/>
    <sheet name="Hieskoivun laskelmat" sheetId="11" state="hidden" r:id="rId14"/>
  </sheets>
  <definedNames>
    <definedName name="solver_adj" localSheetId="0" hidden="1">Laskuri!$B$20</definedName>
    <definedName name="solver_adj" localSheetId="2" hidden="1">Työkaluvälilehti!$B$36</definedName>
    <definedName name="solver_cvg" localSheetId="0" hidden="1">0.0001</definedName>
    <definedName name="solver_cvg" localSheetId="2" hidden="1">0.0001</definedName>
    <definedName name="solver_drv" localSheetId="0" hidden="1">1</definedName>
    <definedName name="solver_drv" localSheetId="2" hidden="1">1</definedName>
    <definedName name="solver_eng" localSheetId="0" hidden="1">1</definedName>
    <definedName name="solver_eng" localSheetId="2" hidden="1">1</definedName>
    <definedName name="solver_est" localSheetId="0" hidden="1">1</definedName>
    <definedName name="solver_est" localSheetId="2" hidden="1">1</definedName>
    <definedName name="solver_itr" localSheetId="0" hidden="1">2147483647</definedName>
    <definedName name="solver_itr" localSheetId="2" hidden="1">2147483647</definedName>
    <definedName name="solver_mip" localSheetId="0" hidden="1">2147483647</definedName>
    <definedName name="solver_mip" localSheetId="2" hidden="1">2147483647</definedName>
    <definedName name="solver_mni" localSheetId="0" hidden="1">30</definedName>
    <definedName name="solver_mni" localSheetId="2" hidden="1">30</definedName>
    <definedName name="solver_mrt" localSheetId="0" hidden="1">0.075</definedName>
    <definedName name="solver_mrt" localSheetId="2" hidden="1">0.075</definedName>
    <definedName name="solver_msl" localSheetId="0" hidden="1">2</definedName>
    <definedName name="solver_msl" localSheetId="2" hidden="1">2</definedName>
    <definedName name="solver_neg" localSheetId="0" hidden="1">1</definedName>
    <definedName name="solver_neg" localSheetId="2" hidden="1">1</definedName>
    <definedName name="solver_nod" localSheetId="0" hidden="1">2147483647</definedName>
    <definedName name="solver_nod" localSheetId="2" hidden="1">2147483647</definedName>
    <definedName name="solver_num" localSheetId="0" hidden="1">0</definedName>
    <definedName name="solver_num" localSheetId="2" hidden="1">0</definedName>
    <definedName name="solver_nwt" localSheetId="0" hidden="1">1</definedName>
    <definedName name="solver_nwt" localSheetId="2" hidden="1">1</definedName>
    <definedName name="solver_opt" localSheetId="0" hidden="1">Laskuri!$B$34</definedName>
    <definedName name="solver_opt" localSheetId="2" hidden="1">Työkaluvälilehti!$A$35</definedName>
    <definedName name="solver_pre" localSheetId="0" hidden="1">0.000001</definedName>
    <definedName name="solver_pre" localSheetId="2" hidden="1">0.000001</definedName>
    <definedName name="solver_rbv" localSheetId="0" hidden="1">1</definedName>
    <definedName name="solver_rbv" localSheetId="2" hidden="1">1</definedName>
    <definedName name="solver_rlx" localSheetId="0" hidden="1">2</definedName>
    <definedName name="solver_rlx" localSheetId="2" hidden="1">2</definedName>
    <definedName name="solver_rsd" localSheetId="0" hidden="1">0</definedName>
    <definedName name="solver_rsd" localSheetId="2" hidden="1">0</definedName>
    <definedName name="solver_scl" localSheetId="0" hidden="1">1</definedName>
    <definedName name="solver_scl" localSheetId="2" hidden="1">1</definedName>
    <definedName name="solver_sho" localSheetId="0" hidden="1">2</definedName>
    <definedName name="solver_sho" localSheetId="2" hidden="1">2</definedName>
    <definedName name="solver_ssz" localSheetId="0" hidden="1">100</definedName>
    <definedName name="solver_ssz" localSheetId="2" hidden="1">100</definedName>
    <definedName name="solver_tim" localSheetId="0" hidden="1">2147483647</definedName>
    <definedName name="solver_tim" localSheetId="2" hidden="1">2147483647</definedName>
    <definedName name="solver_tol" localSheetId="0" hidden="1">0.01</definedName>
    <definedName name="solver_tol" localSheetId="2" hidden="1">0.01</definedName>
    <definedName name="solver_typ" localSheetId="0" hidden="1">3</definedName>
    <definedName name="solver_typ" localSheetId="2" hidden="1">3</definedName>
    <definedName name="solver_val" localSheetId="0" hidden="1">0</definedName>
    <definedName name="solver_val" localSheetId="2" hidden="1">1757</definedName>
    <definedName name="solver_ver" localSheetId="0" hidden="1">3</definedName>
    <definedName name="solver_ver" localSheetId="2" hidden="1">3</definedName>
    <definedName name="_xlnm.Print_Area" localSheetId="0">Laskuri!$A$1:$H$54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27" i="3" l="1"/>
  <c r="K21" i="3"/>
  <c r="K20" i="3"/>
  <c r="K12" i="3"/>
  <c r="K6" i="3"/>
  <c r="K5" i="3"/>
  <c r="K27" i="9"/>
  <c r="K21" i="9"/>
  <c r="K20" i="9"/>
  <c r="K12" i="9"/>
  <c r="K6" i="9"/>
  <c r="K5" i="9"/>
  <c r="K27" i="8"/>
  <c r="K21" i="8"/>
  <c r="K20" i="8"/>
  <c r="K12" i="8"/>
  <c r="K6" i="8"/>
  <c r="K5" i="8"/>
  <c r="K27" i="7"/>
  <c r="K21" i="7"/>
  <c r="K20" i="7"/>
  <c r="K12" i="7"/>
  <c r="K6" i="7"/>
  <c r="K5" i="7"/>
  <c r="K27" i="6"/>
  <c r="K21" i="6"/>
  <c r="K20" i="6"/>
  <c r="K12" i="6"/>
  <c r="K6" i="6"/>
  <c r="K5" i="6"/>
  <c r="K27" i="5"/>
  <c r="K21" i="5"/>
  <c r="K20" i="5"/>
  <c r="K12" i="5"/>
  <c r="K6" i="5"/>
  <c r="K5" i="5"/>
  <c r="K27" i="4"/>
  <c r="K21" i="4"/>
  <c r="K20" i="4"/>
  <c r="K12" i="4"/>
  <c r="K6" i="4"/>
  <c r="K5" i="4"/>
  <c r="K27" i="2"/>
  <c r="K21" i="2"/>
  <c r="K20" i="2"/>
  <c r="K12" i="2"/>
  <c r="K6" i="2"/>
  <c r="K5" i="2"/>
  <c r="K27" i="14"/>
  <c r="K21" i="14"/>
  <c r="K20" i="14"/>
  <c r="E27" i="3"/>
  <c r="E21" i="3"/>
  <c r="E20" i="3"/>
  <c r="E27" i="9"/>
  <c r="E21" i="9"/>
  <c r="E20" i="9"/>
  <c r="E27" i="8"/>
  <c r="E21" i="8"/>
  <c r="E20" i="8"/>
  <c r="E27" i="7"/>
  <c r="E21" i="7"/>
  <c r="E20" i="7"/>
  <c r="E27" i="6"/>
  <c r="E21" i="6"/>
  <c r="E20" i="6"/>
  <c r="E27" i="5"/>
  <c r="E21" i="5"/>
  <c r="E20" i="5"/>
  <c r="E27" i="4"/>
  <c r="E21" i="4"/>
  <c r="E20" i="4"/>
  <c r="E27" i="2"/>
  <c r="E21" i="2"/>
  <c r="E20" i="2"/>
  <c r="K12" i="14" l="1"/>
  <c r="K6" i="14"/>
  <c r="K5" i="14"/>
  <c r="F5" i="14" l="1"/>
  <c r="E27" i="14"/>
  <c r="E21" i="14"/>
  <c r="E20" i="14"/>
  <c r="E5" i="7"/>
  <c r="B7" i="1" l="1"/>
  <c r="L15" i="11" l="1"/>
  <c r="B6" i="11" l="1"/>
  <c r="B10" i="11"/>
  <c r="B8" i="11"/>
  <c r="B10" i="1"/>
  <c r="B12" i="1"/>
  <c r="C26" i="3"/>
  <c r="C25" i="3"/>
  <c r="C24" i="3"/>
  <c r="C23" i="3"/>
  <c r="C22" i="3"/>
  <c r="C11" i="3"/>
  <c r="C10" i="3"/>
  <c r="C9" i="3"/>
  <c r="C8" i="3"/>
  <c r="C7" i="3"/>
  <c r="C26" i="9"/>
  <c r="C25" i="9"/>
  <c r="C24" i="9"/>
  <c r="C23" i="9"/>
  <c r="C22" i="9"/>
  <c r="C11" i="9"/>
  <c r="C10" i="9"/>
  <c r="C9" i="9"/>
  <c r="C8" i="9"/>
  <c r="C7" i="9"/>
  <c r="C26" i="8"/>
  <c r="C25" i="8"/>
  <c r="C24" i="8"/>
  <c r="C23" i="8"/>
  <c r="C22" i="8"/>
  <c r="C11" i="8"/>
  <c r="C10" i="8"/>
  <c r="C9" i="8"/>
  <c r="C8" i="8"/>
  <c r="C7" i="8"/>
  <c r="C26" i="7"/>
  <c r="C25" i="7"/>
  <c r="C24" i="7"/>
  <c r="C23" i="7"/>
  <c r="C22" i="7"/>
  <c r="C11" i="7"/>
  <c r="C10" i="7"/>
  <c r="C9" i="7"/>
  <c r="C8" i="7"/>
  <c r="C7" i="7"/>
  <c r="C26" i="6"/>
  <c r="C25" i="6"/>
  <c r="C24" i="6"/>
  <c r="C23" i="6"/>
  <c r="C22" i="6"/>
  <c r="C11" i="6"/>
  <c r="C10" i="6"/>
  <c r="C9" i="6"/>
  <c r="C8" i="6"/>
  <c r="C7" i="6"/>
  <c r="C26" i="5"/>
  <c r="C25" i="5"/>
  <c r="C24" i="5"/>
  <c r="C23" i="5"/>
  <c r="C22" i="5"/>
  <c r="C11" i="5"/>
  <c r="C10" i="5"/>
  <c r="C9" i="5"/>
  <c r="C8" i="5"/>
  <c r="C7" i="5"/>
  <c r="C26" i="4"/>
  <c r="C25" i="4"/>
  <c r="C24" i="4"/>
  <c r="C23" i="4"/>
  <c r="C22" i="4"/>
  <c r="C11" i="4"/>
  <c r="C10" i="4"/>
  <c r="C9" i="4"/>
  <c r="C8" i="4"/>
  <c r="C7" i="4"/>
  <c r="C26" i="2"/>
  <c r="C25" i="2"/>
  <c r="C24" i="2"/>
  <c r="C23" i="2"/>
  <c r="C22" i="2"/>
  <c r="C11" i="2"/>
  <c r="C10" i="2"/>
  <c r="C9" i="2"/>
  <c r="C8" i="2"/>
  <c r="C7" i="2"/>
  <c r="C26" i="14"/>
  <c r="C25" i="14"/>
  <c r="C24" i="14"/>
  <c r="C23" i="14"/>
  <c r="C22" i="14"/>
  <c r="C8" i="14"/>
  <c r="C9" i="14"/>
  <c r="C10" i="14"/>
  <c r="C11" i="14"/>
  <c r="C7" i="14"/>
  <c r="B246" i="11"/>
  <c r="B230" i="11"/>
  <c r="B214" i="11"/>
  <c r="B198" i="11"/>
  <c r="B182" i="11"/>
  <c r="B166" i="11"/>
  <c r="B150" i="11"/>
  <c r="B134" i="11"/>
  <c r="B118" i="11"/>
  <c r="B102" i="11"/>
  <c r="B86" i="11"/>
  <c r="B70" i="11"/>
  <c r="B54" i="11"/>
  <c r="B38" i="11"/>
  <c r="B22" i="11"/>
  <c r="B137" i="14"/>
  <c r="E135" i="14"/>
  <c r="E134" i="14"/>
  <c r="E133" i="14"/>
  <c r="E132" i="14"/>
  <c r="E131" i="14"/>
  <c r="E130" i="14"/>
  <c r="E129" i="14"/>
  <c r="E128" i="14"/>
  <c r="E127" i="14"/>
  <c r="F126" i="14"/>
  <c r="E126" i="14"/>
  <c r="D126" i="14"/>
  <c r="F125" i="14"/>
  <c r="E125" i="14"/>
  <c r="D125" i="14"/>
  <c r="B121" i="14"/>
  <c r="E119" i="14"/>
  <c r="E118" i="14"/>
  <c r="E117" i="14"/>
  <c r="E116" i="14"/>
  <c r="E115" i="14"/>
  <c r="E114" i="14"/>
  <c r="E113" i="14"/>
  <c r="E112" i="14"/>
  <c r="E111" i="14"/>
  <c r="F110" i="14"/>
  <c r="E110" i="14"/>
  <c r="D110" i="14"/>
  <c r="F109" i="14"/>
  <c r="E109" i="14"/>
  <c r="D109" i="14"/>
  <c r="B105" i="14"/>
  <c r="E103" i="14"/>
  <c r="E102" i="14"/>
  <c r="E101" i="14"/>
  <c r="E100" i="14"/>
  <c r="E99" i="14"/>
  <c r="E98" i="14"/>
  <c r="E97" i="14"/>
  <c r="E96" i="14"/>
  <c r="E95" i="14"/>
  <c r="F94" i="14"/>
  <c r="E94" i="14"/>
  <c r="D94" i="14"/>
  <c r="F93" i="14"/>
  <c r="G93" i="14" s="1"/>
  <c r="E93" i="14"/>
  <c r="D93" i="14"/>
  <c r="B89" i="14"/>
  <c r="E87" i="14"/>
  <c r="E86" i="14"/>
  <c r="E85" i="14"/>
  <c r="E84" i="14"/>
  <c r="E83" i="14"/>
  <c r="E82" i="14"/>
  <c r="E81" i="14"/>
  <c r="E80" i="14"/>
  <c r="E79" i="14"/>
  <c r="E78" i="14"/>
  <c r="F77" i="14"/>
  <c r="E77" i="14"/>
  <c r="E89" i="14" s="1"/>
  <c r="D77" i="14"/>
  <c r="B73" i="14"/>
  <c r="E71" i="14"/>
  <c r="E70" i="14"/>
  <c r="E69" i="14"/>
  <c r="E68" i="14"/>
  <c r="F67" i="14"/>
  <c r="E67" i="14"/>
  <c r="D67" i="14"/>
  <c r="E66" i="14"/>
  <c r="E65" i="14"/>
  <c r="E64" i="14"/>
  <c r="E63" i="14"/>
  <c r="F62" i="14"/>
  <c r="E62" i="14"/>
  <c r="D62" i="14"/>
  <c r="F61" i="14"/>
  <c r="E61" i="14"/>
  <c r="D61" i="14"/>
  <c r="B57" i="14"/>
  <c r="E55" i="14"/>
  <c r="E54" i="14"/>
  <c r="E53" i="14"/>
  <c r="E52" i="14"/>
  <c r="E51" i="14"/>
  <c r="E50" i="14"/>
  <c r="E49" i="14"/>
  <c r="E48" i="14"/>
  <c r="E47" i="14"/>
  <c r="F46" i="14"/>
  <c r="E46" i="14"/>
  <c r="D46" i="14"/>
  <c r="F45" i="14"/>
  <c r="E45" i="14"/>
  <c r="G45" i="14" s="1"/>
  <c r="D45" i="14"/>
  <c r="B39" i="14"/>
  <c r="E37" i="14"/>
  <c r="E36" i="14"/>
  <c r="E35" i="14"/>
  <c r="E34" i="14"/>
  <c r="F33" i="14"/>
  <c r="E33" i="14"/>
  <c r="G33" i="14" s="1"/>
  <c r="D33" i="14"/>
  <c r="B29" i="14"/>
  <c r="G27" i="14"/>
  <c r="F27" i="14"/>
  <c r="H27" i="14" s="1"/>
  <c r="G21" i="14"/>
  <c r="F21" i="14"/>
  <c r="G20" i="14"/>
  <c r="H20" i="14" s="1"/>
  <c r="F20" i="14"/>
  <c r="B14" i="14"/>
  <c r="G12" i="14"/>
  <c r="F12" i="14"/>
  <c r="E12" i="14"/>
  <c r="G6" i="14"/>
  <c r="H6" i="14" s="1"/>
  <c r="F6" i="14"/>
  <c r="E6" i="14"/>
  <c r="G5" i="14"/>
  <c r="E5" i="14"/>
  <c r="E52" i="2"/>
  <c r="C71" i="3" l="1"/>
  <c r="C70" i="2"/>
  <c r="C55" i="14"/>
  <c r="C47" i="2"/>
  <c r="C65" i="7"/>
  <c r="C66" i="2"/>
  <c r="C47" i="7"/>
  <c r="C51" i="6"/>
  <c r="C64" i="5"/>
  <c r="C71" i="4"/>
  <c r="C52" i="4"/>
  <c r="C65" i="2"/>
  <c r="C55" i="4"/>
  <c r="C47" i="6"/>
  <c r="C65" i="4"/>
  <c r="C69" i="2"/>
  <c r="C51" i="5"/>
  <c r="C66" i="7"/>
  <c r="C52" i="6"/>
  <c r="C47" i="5"/>
  <c r="C53" i="4"/>
  <c r="C51" i="8"/>
  <c r="C54" i="8"/>
  <c r="C49" i="7"/>
  <c r="C48" i="5"/>
  <c r="C71" i="5"/>
  <c r="C52" i="5"/>
  <c r="C53" i="8"/>
  <c r="C49" i="3"/>
  <c r="C63" i="7"/>
  <c r="C71" i="14"/>
  <c r="C64" i="7"/>
  <c r="C54" i="4"/>
  <c r="C48" i="7"/>
  <c r="C65" i="5"/>
  <c r="C50" i="5"/>
  <c r="C63" i="6"/>
  <c r="C53" i="7"/>
  <c r="C69" i="5"/>
  <c r="C68" i="6"/>
  <c r="C68" i="7"/>
  <c r="C53" i="6"/>
  <c r="C66" i="5"/>
  <c r="C70" i="5"/>
  <c r="C49" i="14"/>
  <c r="C52" i="3"/>
  <c r="C63" i="2"/>
  <c r="C51" i="14"/>
  <c r="C69" i="3"/>
  <c r="C54" i="3"/>
  <c r="C65" i="9"/>
  <c r="C50" i="2"/>
  <c r="C53" i="5"/>
  <c r="C55" i="3"/>
  <c r="C71" i="8"/>
  <c r="C55" i="9"/>
  <c r="C50" i="8"/>
  <c r="C70" i="6"/>
  <c r="C49" i="9"/>
  <c r="C55" i="8"/>
  <c r="C69" i="7"/>
  <c r="C50" i="7"/>
  <c r="C54" i="6"/>
  <c r="C68" i="5"/>
  <c r="C64" i="6"/>
  <c r="C63" i="14"/>
  <c r="C50" i="3"/>
  <c r="C68" i="8"/>
  <c r="C69" i="9"/>
  <c r="C63" i="8"/>
  <c r="C70" i="7"/>
  <c r="C51" i="7"/>
  <c r="C55" i="6"/>
  <c r="C54" i="7"/>
  <c r="C71" i="2"/>
  <c r="C63" i="4"/>
  <c r="C66" i="4"/>
  <c r="C52" i="2"/>
  <c r="C63" i="3"/>
  <c r="C70" i="9"/>
  <c r="C51" i="9"/>
  <c r="C64" i="8"/>
  <c r="C52" i="7"/>
  <c r="C54" i="5"/>
  <c r="C65" i="6"/>
  <c r="C49" i="5"/>
  <c r="C71" i="9"/>
  <c r="C65" i="8"/>
  <c r="C47" i="8"/>
  <c r="C69" i="8"/>
  <c r="C52" i="8"/>
  <c r="C47" i="9"/>
  <c r="C66" i="6"/>
  <c r="C65" i="3"/>
  <c r="C53" i="9"/>
  <c r="C69" i="4"/>
  <c r="C48" i="9"/>
  <c r="C66" i="9"/>
  <c r="C53" i="14"/>
  <c r="C48" i="2"/>
  <c r="C50" i="9"/>
  <c r="C53" i="3"/>
  <c r="C71" i="7"/>
  <c r="C49" i="8"/>
  <c r="C48" i="6"/>
  <c r="C55" i="7"/>
  <c r="C65" i="14"/>
  <c r="C52" i="9"/>
  <c r="C53" i="2"/>
  <c r="C54" i="14"/>
  <c r="C69" i="6"/>
  <c r="C66" i="3"/>
  <c r="C68" i="4"/>
  <c r="C49" i="4"/>
  <c r="C55" i="2"/>
  <c r="C68" i="3"/>
  <c r="C48" i="8"/>
  <c r="C55" i="5"/>
  <c r="C51" i="2"/>
  <c r="C64" i="3"/>
  <c r="C64" i="9"/>
  <c r="C48" i="14"/>
  <c r="C47" i="3"/>
  <c r="C66" i="8"/>
  <c r="C68" i="2"/>
  <c r="C48" i="3"/>
  <c r="C50" i="14"/>
  <c r="C71" i="6"/>
  <c r="C70" i="14"/>
  <c r="C52" i="14"/>
  <c r="C50" i="6"/>
  <c r="C47" i="14"/>
  <c r="C63" i="9"/>
  <c r="C48" i="4"/>
  <c r="C51" i="3"/>
  <c r="C64" i="4"/>
  <c r="C49" i="6"/>
  <c r="C70" i="8"/>
  <c r="C70" i="4"/>
  <c r="C51" i="4"/>
  <c r="C64" i="2"/>
  <c r="C70" i="3"/>
  <c r="C68" i="9"/>
  <c r="C66" i="14"/>
  <c r="C64" i="14"/>
  <c r="C49" i="2"/>
  <c r="C54" i="2"/>
  <c r="C68" i="14"/>
  <c r="C54" i="9"/>
  <c r="C47" i="4"/>
  <c r="C69" i="14"/>
  <c r="C50" i="4"/>
  <c r="C63" i="5"/>
  <c r="G67" i="14"/>
  <c r="E121" i="14"/>
  <c r="H12" i="14"/>
  <c r="G110" i="14"/>
  <c r="E105" i="14"/>
  <c r="E73" i="14"/>
  <c r="E137" i="14"/>
  <c r="G126" i="14"/>
  <c r="E57" i="14"/>
  <c r="H21" i="14"/>
  <c r="H5" i="14"/>
  <c r="G77" i="14"/>
  <c r="G61" i="14"/>
  <c r="G109" i="14"/>
  <c r="G125" i="14"/>
  <c r="G46" i="14"/>
  <c r="G62" i="14"/>
  <c r="G94" i="14"/>
  <c r="E39" i="14"/>
  <c r="B36" i="1"/>
  <c r="B26" i="1"/>
  <c r="A26" i="1"/>
  <c r="B17" i="1"/>
  <c r="B16" i="1"/>
  <c r="B11" i="1"/>
  <c r="B13" i="1"/>
  <c r="B3" i="1"/>
  <c r="B4" i="1"/>
  <c r="B5" i="1"/>
  <c r="B6" i="1"/>
  <c r="B2" i="1"/>
  <c r="D7" i="14" s="1"/>
  <c r="B255" i="11"/>
  <c r="B252" i="11"/>
  <c r="B250" i="11"/>
  <c r="B248" i="11"/>
  <c r="B239" i="11"/>
  <c r="B236" i="11"/>
  <c r="B234" i="11"/>
  <c r="B232" i="11"/>
  <c r="B223" i="11"/>
  <c r="B220" i="11"/>
  <c r="B218" i="11"/>
  <c r="B216" i="11"/>
  <c r="B207" i="11"/>
  <c r="B204" i="11"/>
  <c r="B202" i="11"/>
  <c r="B200" i="11"/>
  <c r="B191" i="11"/>
  <c r="B188" i="11"/>
  <c r="B186" i="11"/>
  <c r="B184" i="11"/>
  <c r="B175" i="11"/>
  <c r="B172" i="11"/>
  <c r="B170" i="11"/>
  <c r="B168" i="11"/>
  <c r="B160" i="11"/>
  <c r="B156" i="11"/>
  <c r="B154" i="11"/>
  <c r="B152" i="11"/>
  <c r="B143" i="11"/>
  <c r="B140" i="11"/>
  <c r="B138" i="11"/>
  <c r="B136" i="11"/>
  <c r="B127" i="11"/>
  <c r="B124" i="11"/>
  <c r="B122" i="11"/>
  <c r="B120" i="11"/>
  <c r="B111" i="11"/>
  <c r="B108" i="11"/>
  <c r="B106" i="11"/>
  <c r="B104" i="11"/>
  <c r="B95" i="11"/>
  <c r="B92" i="11"/>
  <c r="B90" i="11"/>
  <c r="B88" i="11"/>
  <c r="B79" i="11"/>
  <c r="B76" i="11"/>
  <c r="B74" i="11"/>
  <c r="B72" i="11"/>
  <c r="B63" i="11"/>
  <c r="B60" i="11"/>
  <c r="B58" i="11"/>
  <c r="B56" i="11"/>
  <c r="B47" i="11"/>
  <c r="B44" i="11"/>
  <c r="B42" i="11"/>
  <c r="B40" i="11"/>
  <c r="B31" i="11"/>
  <c r="B28" i="11"/>
  <c r="B26" i="11"/>
  <c r="B24" i="11"/>
  <c r="A24" i="11"/>
  <c r="A27" i="11" s="1"/>
  <c r="A29" i="11" s="1"/>
  <c r="A30" i="11" s="1"/>
  <c r="A31" i="11" s="1"/>
  <c r="A32" i="11" s="1"/>
  <c r="B15" i="11"/>
  <c r="B12" i="11"/>
  <c r="A9" i="11"/>
  <c r="A8" i="11"/>
  <c r="A11" i="11" s="1"/>
  <c r="A13" i="11" s="1"/>
  <c r="A14" i="11" s="1"/>
  <c r="A15" i="11" s="1"/>
  <c r="A16" i="11" s="1"/>
  <c r="C82" i="6" l="1"/>
  <c r="C84" i="6"/>
  <c r="C85" i="6"/>
  <c r="C86" i="6"/>
  <c r="C87" i="6"/>
  <c r="C79" i="6"/>
  <c r="C80" i="6"/>
  <c r="C81" i="6"/>
  <c r="C83" i="6"/>
  <c r="C78" i="6"/>
  <c r="D2" i="12"/>
  <c r="D31" i="12"/>
  <c r="C113" i="14"/>
  <c r="D8" i="2"/>
  <c r="D7" i="2"/>
  <c r="C132" i="14"/>
  <c r="C130" i="14"/>
  <c r="C37" i="14"/>
  <c r="C36" i="14"/>
  <c r="C35" i="14"/>
  <c r="C34" i="14"/>
  <c r="D22" i="14"/>
  <c r="E22" i="14" s="1"/>
  <c r="K22" i="14" s="1"/>
  <c r="F9" i="2"/>
  <c r="D10" i="14"/>
  <c r="F10" i="14"/>
  <c r="D26" i="14"/>
  <c r="E26" i="14" s="1"/>
  <c r="K26" i="14" s="1"/>
  <c r="F26" i="14"/>
  <c r="D9" i="14"/>
  <c r="D24" i="14"/>
  <c r="E24" i="14" s="1"/>
  <c r="K24" i="14" s="1"/>
  <c r="F8" i="14"/>
  <c r="F24" i="14"/>
  <c r="F9" i="14"/>
  <c r="F25" i="14"/>
  <c r="D23" i="14"/>
  <c r="E23" i="14" s="1"/>
  <c r="K23" i="14" s="1"/>
  <c r="D11" i="14"/>
  <c r="G11" i="14" s="1"/>
  <c r="D9" i="2"/>
  <c r="D8" i="14"/>
  <c r="F23" i="14"/>
  <c r="D25" i="14"/>
  <c r="E25" i="14" s="1"/>
  <c r="K25" i="14" s="1"/>
  <c r="C135" i="14"/>
  <c r="C129" i="14"/>
  <c r="C134" i="14"/>
  <c r="C133" i="14"/>
  <c r="C127" i="14"/>
  <c r="C128" i="14"/>
  <c r="C131" i="14"/>
  <c r="C84" i="14"/>
  <c r="C78" i="14"/>
  <c r="C83" i="14"/>
  <c r="C82" i="14"/>
  <c r="C86" i="14"/>
  <c r="C85" i="14"/>
  <c r="C87" i="14"/>
  <c r="C79" i="14"/>
  <c r="C81" i="14"/>
  <c r="C80" i="14"/>
  <c r="C118" i="14"/>
  <c r="C112" i="14"/>
  <c r="C119" i="14"/>
  <c r="C111" i="14"/>
  <c r="C117" i="14"/>
  <c r="C114" i="14"/>
  <c r="C116" i="14"/>
  <c r="C115" i="14"/>
  <c r="C97" i="14"/>
  <c r="C103" i="14"/>
  <c r="C102" i="14"/>
  <c r="C95" i="14"/>
  <c r="C101" i="14"/>
  <c r="C99" i="14"/>
  <c r="C100" i="14"/>
  <c r="C98" i="14"/>
  <c r="C96" i="14"/>
  <c r="A25" i="11"/>
  <c r="A26" i="11"/>
  <c r="A28" i="11" s="1"/>
  <c r="A10" i="11"/>
  <c r="A12" i="11" s="1"/>
  <c r="K29" i="14" l="1"/>
  <c r="C14" i="14"/>
  <c r="G7" i="14"/>
  <c r="D14" i="14"/>
  <c r="E9" i="2"/>
  <c r="K9" i="2" s="1"/>
  <c r="G24" i="14"/>
  <c r="H24" i="14" s="1"/>
  <c r="D131" i="14"/>
  <c r="F131" i="14"/>
  <c r="G131" i="14" s="1"/>
  <c r="G8" i="14"/>
  <c r="H8" i="14" s="1"/>
  <c r="E8" i="14"/>
  <c r="K8" i="14" s="1"/>
  <c r="G9" i="14"/>
  <c r="H9" i="14" s="1"/>
  <c r="E9" i="14"/>
  <c r="K9" i="14" s="1"/>
  <c r="F7" i="14"/>
  <c r="G10" i="14"/>
  <c r="H10" i="14" s="1"/>
  <c r="E10" i="14"/>
  <c r="K10" i="14" s="1"/>
  <c r="F134" i="14"/>
  <c r="G134" i="14" s="1"/>
  <c r="D134" i="14"/>
  <c r="G23" i="14"/>
  <c r="H23" i="14" s="1"/>
  <c r="F129" i="14"/>
  <c r="G129" i="14" s="1"/>
  <c r="D129" i="14"/>
  <c r="G22" i="14"/>
  <c r="D29" i="14"/>
  <c r="F135" i="14"/>
  <c r="G135" i="14" s="1"/>
  <c r="D135" i="14"/>
  <c r="D34" i="14"/>
  <c r="D39" i="14" s="1"/>
  <c r="F34" i="14"/>
  <c r="C39" i="14"/>
  <c r="D35" i="14"/>
  <c r="F35" i="14"/>
  <c r="G35" i="14" s="1"/>
  <c r="F128" i="14"/>
  <c r="G128" i="14" s="1"/>
  <c r="D128" i="14"/>
  <c r="G26" i="14"/>
  <c r="H26" i="14" s="1"/>
  <c r="F127" i="14"/>
  <c r="C137" i="14"/>
  <c r="D127" i="14"/>
  <c r="F130" i="14"/>
  <c r="G130" i="14" s="1"/>
  <c r="D130" i="14"/>
  <c r="E7" i="14"/>
  <c r="K7" i="14" s="1"/>
  <c r="G25" i="14"/>
  <c r="H25" i="14" s="1"/>
  <c r="F36" i="14"/>
  <c r="G36" i="14" s="1"/>
  <c r="D36" i="14"/>
  <c r="D132" i="14"/>
  <c r="F132" i="14"/>
  <c r="G132" i="14" s="1"/>
  <c r="C29" i="14"/>
  <c r="F22" i="14"/>
  <c r="F29" i="14" s="1"/>
  <c r="F133" i="14"/>
  <c r="G133" i="14" s="1"/>
  <c r="D133" i="14"/>
  <c r="E11" i="14"/>
  <c r="K11" i="14" s="1"/>
  <c r="F11" i="14"/>
  <c r="H11" i="14" s="1"/>
  <c r="F37" i="14"/>
  <c r="G37" i="14" s="1"/>
  <c r="D37" i="14"/>
  <c r="F82" i="14"/>
  <c r="G82" i="14" s="1"/>
  <c r="D82" i="14"/>
  <c r="F49" i="14"/>
  <c r="G49" i="14" s="1"/>
  <c r="D49" i="14"/>
  <c r="D52" i="14"/>
  <c r="F52" i="14"/>
  <c r="G52" i="14" s="1"/>
  <c r="F79" i="14"/>
  <c r="G79" i="14" s="1"/>
  <c r="D79" i="14"/>
  <c r="F83" i="14"/>
  <c r="G83" i="14" s="1"/>
  <c r="D83" i="14"/>
  <c r="F64" i="14"/>
  <c r="G64" i="14" s="1"/>
  <c r="D64" i="14"/>
  <c r="D53" i="14"/>
  <c r="F53" i="14"/>
  <c r="G53" i="14" s="1"/>
  <c r="F86" i="14"/>
  <c r="G86" i="14" s="1"/>
  <c r="D86" i="14"/>
  <c r="F50" i="14"/>
  <c r="G50" i="14" s="1"/>
  <c r="D50" i="14"/>
  <c r="F68" i="14"/>
  <c r="G68" i="14" s="1"/>
  <c r="D68" i="14"/>
  <c r="F80" i="14"/>
  <c r="G80" i="14" s="1"/>
  <c r="D80" i="14"/>
  <c r="F71" i="14"/>
  <c r="G71" i="14" s="1"/>
  <c r="D71" i="14"/>
  <c r="F63" i="14"/>
  <c r="D63" i="14"/>
  <c r="C73" i="14"/>
  <c r="F48" i="14"/>
  <c r="G48" i="14" s="1"/>
  <c r="D48" i="14"/>
  <c r="D51" i="14"/>
  <c r="F51" i="14"/>
  <c r="G51" i="14" s="1"/>
  <c r="D78" i="14"/>
  <c r="F78" i="14"/>
  <c r="C89" i="14"/>
  <c r="F65" i="14"/>
  <c r="G65" i="14" s="1"/>
  <c r="D65" i="14"/>
  <c r="F81" i="14"/>
  <c r="G81" i="14" s="1"/>
  <c r="D81" i="14"/>
  <c r="F47" i="14"/>
  <c r="D47" i="14"/>
  <c r="C57" i="14"/>
  <c r="F70" i="14"/>
  <c r="G70" i="14" s="1"/>
  <c r="D70" i="14"/>
  <c r="F54" i="14"/>
  <c r="G54" i="14" s="1"/>
  <c r="D54" i="14"/>
  <c r="F66" i="14"/>
  <c r="G66" i="14" s="1"/>
  <c r="D66" i="14"/>
  <c r="F69" i="14"/>
  <c r="G69" i="14" s="1"/>
  <c r="D69" i="14"/>
  <c r="D87" i="14"/>
  <c r="F87" i="14"/>
  <c r="G87" i="14" s="1"/>
  <c r="F55" i="14"/>
  <c r="G55" i="14" s="1"/>
  <c r="D55" i="14"/>
  <c r="D85" i="14"/>
  <c r="F85" i="14"/>
  <c r="G85" i="14" s="1"/>
  <c r="D84" i="14"/>
  <c r="F84" i="14"/>
  <c r="G84" i="14" s="1"/>
  <c r="F118" i="14"/>
  <c r="G118" i="14" s="1"/>
  <c r="D118" i="14"/>
  <c r="F115" i="14"/>
  <c r="G115" i="14" s="1"/>
  <c r="D115" i="14"/>
  <c r="D116" i="14"/>
  <c r="F116" i="14"/>
  <c r="G116" i="14" s="1"/>
  <c r="F114" i="14"/>
  <c r="G114" i="14" s="1"/>
  <c r="D114" i="14"/>
  <c r="D117" i="14"/>
  <c r="F117" i="14"/>
  <c r="G117" i="14" s="1"/>
  <c r="F113" i="14"/>
  <c r="G113" i="14" s="1"/>
  <c r="D113" i="14"/>
  <c r="F111" i="14"/>
  <c r="D111" i="14"/>
  <c r="C121" i="14"/>
  <c r="F119" i="14"/>
  <c r="G119" i="14" s="1"/>
  <c r="D119" i="14"/>
  <c r="F112" i="14"/>
  <c r="G112" i="14" s="1"/>
  <c r="D112" i="14"/>
  <c r="D100" i="14"/>
  <c r="F100" i="14"/>
  <c r="F96" i="14"/>
  <c r="G96" i="14" s="1"/>
  <c r="D96" i="14"/>
  <c r="F98" i="14"/>
  <c r="G98" i="14" s="1"/>
  <c r="D98" i="14"/>
  <c r="F103" i="14"/>
  <c r="G103" i="14" s="1"/>
  <c r="D103" i="14"/>
  <c r="F99" i="14"/>
  <c r="G99" i="14" s="1"/>
  <c r="D99" i="14"/>
  <c r="D101" i="14"/>
  <c r="F101" i="14"/>
  <c r="G101" i="14" s="1"/>
  <c r="F95" i="14"/>
  <c r="G95" i="14" s="1"/>
  <c r="C105" i="14"/>
  <c r="D95" i="14"/>
  <c r="F102" i="14"/>
  <c r="G102" i="14" s="1"/>
  <c r="D102" i="14"/>
  <c r="F97" i="14"/>
  <c r="G97" i="14" s="1"/>
  <c r="D97" i="14"/>
  <c r="D13" i="12"/>
  <c r="D12" i="12"/>
  <c r="D11" i="12"/>
  <c r="D10" i="12"/>
  <c r="D8" i="12"/>
  <c r="B3" i="12"/>
  <c r="B4" i="12"/>
  <c r="B5" i="12"/>
  <c r="B6" i="12"/>
  <c r="B7" i="12"/>
  <c r="B8" i="12"/>
  <c r="B9" i="12"/>
  <c r="B10" i="12"/>
  <c r="B11" i="12"/>
  <c r="B12" i="12"/>
  <c r="B13" i="12"/>
  <c r="B14" i="12"/>
  <c r="B15" i="12"/>
  <c r="B16" i="12"/>
  <c r="B17" i="12"/>
  <c r="B18" i="12"/>
  <c r="B19" i="12"/>
  <c r="B20" i="12"/>
  <c r="B21" i="12"/>
  <c r="B22" i="12"/>
  <c r="B23" i="12"/>
  <c r="B24" i="12"/>
  <c r="B25" i="12"/>
  <c r="B26" i="12"/>
  <c r="B27" i="12"/>
  <c r="B28" i="12"/>
  <c r="B29" i="12"/>
  <c r="B30" i="12"/>
  <c r="B31" i="12"/>
  <c r="B32" i="12"/>
  <c r="B33" i="12"/>
  <c r="B34" i="12"/>
  <c r="B35" i="12"/>
  <c r="B36" i="12"/>
  <c r="B37" i="12"/>
  <c r="B38" i="12"/>
  <c r="B39" i="12"/>
  <c r="B40" i="12"/>
  <c r="B41" i="12"/>
  <c r="B42" i="12"/>
  <c r="B43" i="12"/>
  <c r="B44" i="12"/>
  <c r="B45" i="12"/>
  <c r="B46" i="12"/>
  <c r="B47" i="12"/>
  <c r="B48" i="12"/>
  <c r="B49" i="12"/>
  <c r="B50" i="12"/>
  <c r="B51" i="12"/>
  <c r="B52" i="12"/>
  <c r="B53" i="12"/>
  <c r="B54" i="12"/>
  <c r="B55" i="12"/>
  <c r="B56" i="12"/>
  <c r="B57" i="12"/>
  <c r="B58" i="12"/>
  <c r="B59" i="12"/>
  <c r="B60" i="12"/>
  <c r="B61" i="12"/>
  <c r="B2" i="12"/>
  <c r="D3" i="12"/>
  <c r="D4" i="12"/>
  <c r="D5" i="12"/>
  <c r="D6" i="12"/>
  <c r="D7" i="12"/>
  <c r="D9" i="12"/>
  <c r="D14" i="12"/>
  <c r="D15" i="12"/>
  <c r="D16" i="12"/>
  <c r="D17" i="12"/>
  <c r="D18" i="12"/>
  <c r="D19" i="12"/>
  <c r="D20" i="12"/>
  <c r="D21" i="12"/>
  <c r="D22" i="12"/>
  <c r="D23" i="12"/>
  <c r="D24" i="12"/>
  <c r="D25" i="12"/>
  <c r="D26" i="12"/>
  <c r="D27" i="12"/>
  <c r="D28" i="12"/>
  <c r="D29" i="12"/>
  <c r="D30" i="12"/>
  <c r="C2" i="11"/>
  <c r="C1" i="11"/>
  <c r="B37" i="11"/>
  <c r="M8" i="11"/>
  <c r="M9" i="11" s="1"/>
  <c r="M7" i="11"/>
  <c r="M6" i="11"/>
  <c r="M5" i="11"/>
  <c r="L5" i="11"/>
  <c r="L4" i="11"/>
  <c r="B29" i="3"/>
  <c r="G27" i="3"/>
  <c r="F27" i="3"/>
  <c r="D26" i="3"/>
  <c r="F26" i="3"/>
  <c r="D25" i="3"/>
  <c r="E25" i="3" s="1"/>
  <c r="K25" i="3" s="1"/>
  <c r="F25" i="3"/>
  <c r="D24" i="3"/>
  <c r="F24" i="3"/>
  <c r="D23" i="3"/>
  <c r="F23" i="3"/>
  <c r="D22" i="3"/>
  <c r="F22" i="3"/>
  <c r="G21" i="3"/>
  <c r="F21" i="3"/>
  <c r="H20" i="3"/>
  <c r="G20" i="3"/>
  <c r="F20" i="3"/>
  <c r="B29" i="9"/>
  <c r="G27" i="9"/>
  <c r="F27" i="9"/>
  <c r="D26" i="9"/>
  <c r="F26" i="9"/>
  <c r="D25" i="9"/>
  <c r="E25" i="9" s="1"/>
  <c r="K25" i="9" s="1"/>
  <c r="F25" i="9"/>
  <c r="D24" i="9"/>
  <c r="F24" i="9"/>
  <c r="D23" i="9"/>
  <c r="E23" i="9" s="1"/>
  <c r="K23" i="9" s="1"/>
  <c r="D22" i="9"/>
  <c r="F22" i="9"/>
  <c r="G21" i="9"/>
  <c r="F21" i="9"/>
  <c r="G20" i="9"/>
  <c r="H20" i="9" s="1"/>
  <c r="F20" i="9"/>
  <c r="B29" i="8"/>
  <c r="G27" i="8"/>
  <c r="F27" i="8"/>
  <c r="D26" i="8"/>
  <c r="F26" i="8"/>
  <c r="D25" i="8"/>
  <c r="E25" i="8" s="1"/>
  <c r="K25" i="8" s="1"/>
  <c r="F25" i="8"/>
  <c r="D24" i="8"/>
  <c r="F24" i="8"/>
  <c r="D23" i="8"/>
  <c r="F23" i="8"/>
  <c r="D22" i="8"/>
  <c r="F22" i="8"/>
  <c r="G21" i="8"/>
  <c r="F21" i="8"/>
  <c r="G20" i="8"/>
  <c r="H20" i="8" s="1"/>
  <c r="F20" i="8"/>
  <c r="B29" i="7"/>
  <c r="G27" i="7"/>
  <c r="F27" i="7"/>
  <c r="D26" i="7"/>
  <c r="F26" i="7"/>
  <c r="D25" i="7"/>
  <c r="F25" i="7"/>
  <c r="D24" i="7"/>
  <c r="F24" i="7"/>
  <c r="D23" i="7"/>
  <c r="F23" i="7"/>
  <c r="D22" i="7"/>
  <c r="F22" i="7"/>
  <c r="G21" i="7"/>
  <c r="F21" i="7"/>
  <c r="G20" i="7"/>
  <c r="F20" i="7"/>
  <c r="B29" i="6"/>
  <c r="G27" i="6"/>
  <c r="F27" i="6"/>
  <c r="D26" i="6"/>
  <c r="F26" i="6"/>
  <c r="D25" i="6"/>
  <c r="E25" i="6" s="1"/>
  <c r="K25" i="6" s="1"/>
  <c r="F25" i="6"/>
  <c r="D24" i="6"/>
  <c r="F24" i="6"/>
  <c r="D23" i="6"/>
  <c r="F23" i="6"/>
  <c r="D22" i="6"/>
  <c r="F22" i="6"/>
  <c r="G21" i="6"/>
  <c r="F21" i="6"/>
  <c r="G20" i="6"/>
  <c r="H20" i="6" s="1"/>
  <c r="F20" i="6"/>
  <c r="B29" i="5"/>
  <c r="G27" i="5"/>
  <c r="F27" i="5"/>
  <c r="D26" i="5"/>
  <c r="F26" i="5"/>
  <c r="D25" i="5"/>
  <c r="F25" i="5"/>
  <c r="D24" i="5"/>
  <c r="F24" i="5"/>
  <c r="D23" i="5"/>
  <c r="F23" i="5"/>
  <c r="D22" i="5"/>
  <c r="F22" i="5"/>
  <c r="G21" i="5"/>
  <c r="F21" i="5"/>
  <c r="G20" i="5"/>
  <c r="H20" i="5" s="1"/>
  <c r="F20" i="5"/>
  <c r="B29" i="4"/>
  <c r="G27" i="4"/>
  <c r="F27" i="4"/>
  <c r="D26" i="4"/>
  <c r="F26" i="4"/>
  <c r="D25" i="4"/>
  <c r="E25" i="4" s="1"/>
  <c r="K25" i="4" s="1"/>
  <c r="F25" i="4"/>
  <c r="D24" i="4"/>
  <c r="F24" i="4"/>
  <c r="D23" i="4"/>
  <c r="E23" i="4" s="1"/>
  <c r="K23" i="4" s="1"/>
  <c r="F23" i="4"/>
  <c r="D22" i="4"/>
  <c r="F22" i="4"/>
  <c r="G21" i="4"/>
  <c r="F21" i="4"/>
  <c r="G20" i="4"/>
  <c r="F20" i="4"/>
  <c r="B29" i="2"/>
  <c r="G27" i="2"/>
  <c r="F27" i="2"/>
  <c r="D26" i="2"/>
  <c r="F26" i="2"/>
  <c r="D25" i="2"/>
  <c r="F25" i="2"/>
  <c r="D24" i="2"/>
  <c r="F24" i="2"/>
  <c r="D23" i="2"/>
  <c r="E23" i="2" s="1"/>
  <c r="K23" i="2" s="1"/>
  <c r="F23" i="2"/>
  <c r="D22" i="2"/>
  <c r="F22" i="2"/>
  <c r="G21" i="2"/>
  <c r="F21" i="2"/>
  <c r="G20" i="2"/>
  <c r="F20" i="2"/>
  <c r="B14" i="3"/>
  <c r="G12" i="3"/>
  <c r="F12" i="3"/>
  <c r="E12" i="3"/>
  <c r="D11" i="3"/>
  <c r="G11" i="3" s="1"/>
  <c r="F11" i="3"/>
  <c r="D10" i="3"/>
  <c r="F10" i="3"/>
  <c r="D9" i="3"/>
  <c r="G9" i="3" s="1"/>
  <c r="F9" i="3"/>
  <c r="D8" i="3"/>
  <c r="G8" i="3" s="1"/>
  <c r="F8" i="3"/>
  <c r="D7" i="3"/>
  <c r="G7" i="3" s="1"/>
  <c r="F7" i="3"/>
  <c r="G6" i="3"/>
  <c r="H6" i="3" s="1"/>
  <c r="F6" i="3"/>
  <c r="E6" i="3"/>
  <c r="G5" i="3"/>
  <c r="F5" i="3"/>
  <c r="E5" i="3"/>
  <c r="B14" i="9"/>
  <c r="G12" i="9"/>
  <c r="F12" i="9"/>
  <c r="E12" i="9"/>
  <c r="D11" i="9"/>
  <c r="G11" i="9" s="1"/>
  <c r="F11" i="9"/>
  <c r="D10" i="9"/>
  <c r="G10" i="9" s="1"/>
  <c r="F10" i="9"/>
  <c r="D9" i="9"/>
  <c r="G9" i="9" s="1"/>
  <c r="F9" i="9"/>
  <c r="D8" i="9"/>
  <c r="G8" i="9" s="1"/>
  <c r="F8" i="9"/>
  <c r="D7" i="9"/>
  <c r="G7" i="9" s="1"/>
  <c r="F7" i="9"/>
  <c r="G6" i="9"/>
  <c r="H6" i="9" s="1"/>
  <c r="F6" i="9"/>
  <c r="E6" i="9"/>
  <c r="G5" i="9"/>
  <c r="F5" i="9"/>
  <c r="E5" i="9"/>
  <c r="B14" i="8"/>
  <c r="G12" i="8"/>
  <c r="H12" i="8" s="1"/>
  <c r="F12" i="8"/>
  <c r="E12" i="8"/>
  <c r="D11" i="8"/>
  <c r="G11" i="8" s="1"/>
  <c r="F11" i="8"/>
  <c r="D10" i="8"/>
  <c r="G10" i="8" s="1"/>
  <c r="D9" i="8"/>
  <c r="G9" i="8" s="1"/>
  <c r="F9" i="8"/>
  <c r="D8" i="8"/>
  <c r="G8" i="8" s="1"/>
  <c r="D7" i="8"/>
  <c r="G7" i="8" s="1"/>
  <c r="F7" i="8"/>
  <c r="G6" i="8"/>
  <c r="H6" i="8" s="1"/>
  <c r="F6" i="8"/>
  <c r="E6" i="8"/>
  <c r="G5" i="8"/>
  <c r="F5" i="8"/>
  <c r="E5" i="8"/>
  <c r="B14" i="7"/>
  <c r="G12" i="7"/>
  <c r="F12" i="7"/>
  <c r="E12" i="7"/>
  <c r="D11" i="7"/>
  <c r="G11" i="7" s="1"/>
  <c r="F11" i="7"/>
  <c r="D10" i="7"/>
  <c r="G10" i="7" s="1"/>
  <c r="F10" i="7"/>
  <c r="D9" i="7"/>
  <c r="G9" i="7" s="1"/>
  <c r="F9" i="7"/>
  <c r="D8" i="7"/>
  <c r="G8" i="7" s="1"/>
  <c r="F8" i="7"/>
  <c r="D7" i="7"/>
  <c r="G7" i="7" s="1"/>
  <c r="F7" i="7"/>
  <c r="G6" i="7"/>
  <c r="H6" i="7" s="1"/>
  <c r="F6" i="7"/>
  <c r="E6" i="7"/>
  <c r="G5" i="7"/>
  <c r="F5" i="7"/>
  <c r="B14" i="6"/>
  <c r="G12" i="6"/>
  <c r="F12" i="6"/>
  <c r="E12" i="6"/>
  <c r="D11" i="6"/>
  <c r="G11" i="6" s="1"/>
  <c r="F11" i="6"/>
  <c r="D10" i="6"/>
  <c r="G10" i="6" s="1"/>
  <c r="F10" i="6"/>
  <c r="D9" i="6"/>
  <c r="G9" i="6" s="1"/>
  <c r="F9" i="6"/>
  <c r="D8" i="6"/>
  <c r="G8" i="6" s="1"/>
  <c r="D7" i="6"/>
  <c r="G7" i="6" s="1"/>
  <c r="F7" i="6"/>
  <c r="G6" i="6"/>
  <c r="H6" i="6" s="1"/>
  <c r="F6" i="6"/>
  <c r="E6" i="6"/>
  <c r="G5" i="6"/>
  <c r="F5" i="6"/>
  <c r="E5" i="6"/>
  <c r="B14" i="5"/>
  <c r="G12" i="5"/>
  <c r="F12" i="5"/>
  <c r="E12" i="5"/>
  <c r="D11" i="5"/>
  <c r="G11" i="5" s="1"/>
  <c r="F11" i="5"/>
  <c r="D10" i="5"/>
  <c r="F10" i="5"/>
  <c r="D9" i="5"/>
  <c r="G9" i="5" s="1"/>
  <c r="F9" i="5"/>
  <c r="D8" i="5"/>
  <c r="G8" i="5" s="1"/>
  <c r="F8" i="5"/>
  <c r="D7" i="5"/>
  <c r="G7" i="5" s="1"/>
  <c r="F7" i="5"/>
  <c r="G6" i="5"/>
  <c r="H6" i="5" s="1"/>
  <c r="F6" i="5"/>
  <c r="E6" i="5"/>
  <c r="G5" i="5"/>
  <c r="H5" i="5" s="1"/>
  <c r="F5" i="5"/>
  <c r="E5" i="5"/>
  <c r="B14" i="4"/>
  <c r="G12" i="4"/>
  <c r="F12" i="4"/>
  <c r="E12" i="4"/>
  <c r="D11" i="4"/>
  <c r="G11" i="4" s="1"/>
  <c r="F11" i="4"/>
  <c r="D10" i="4"/>
  <c r="F10" i="4"/>
  <c r="D9" i="4"/>
  <c r="G9" i="4" s="1"/>
  <c r="F9" i="4"/>
  <c r="D8" i="4"/>
  <c r="F8" i="4"/>
  <c r="D7" i="4"/>
  <c r="G7" i="4" s="1"/>
  <c r="F7" i="4"/>
  <c r="G6" i="4"/>
  <c r="H6" i="4" s="1"/>
  <c r="F6" i="4"/>
  <c r="E6" i="4"/>
  <c r="G5" i="4"/>
  <c r="F5" i="4"/>
  <c r="E5" i="4"/>
  <c r="F12" i="2"/>
  <c r="B14" i="2"/>
  <c r="G12" i="2"/>
  <c r="H12" i="2" s="1"/>
  <c r="E12" i="2"/>
  <c r="D11" i="2"/>
  <c r="G11" i="2" s="1"/>
  <c r="F11" i="2"/>
  <c r="D10" i="2"/>
  <c r="G10" i="2" s="1"/>
  <c r="F10" i="2"/>
  <c r="G9" i="2"/>
  <c r="F8" i="2"/>
  <c r="G7" i="2"/>
  <c r="F7" i="2"/>
  <c r="G6" i="2"/>
  <c r="H6" i="2" s="1"/>
  <c r="F6" i="2"/>
  <c r="E6" i="2"/>
  <c r="G5" i="2"/>
  <c r="F5" i="2"/>
  <c r="E5" i="2"/>
  <c r="G25" i="7" l="1"/>
  <c r="H25" i="7" s="1"/>
  <c r="E25" i="7"/>
  <c r="K25" i="7" s="1"/>
  <c r="G25" i="2"/>
  <c r="H25" i="2" s="1"/>
  <c r="E25" i="2"/>
  <c r="K25" i="2" s="1"/>
  <c r="G22" i="7"/>
  <c r="H22" i="7" s="1"/>
  <c r="E22" i="7"/>
  <c r="K22" i="7" s="1"/>
  <c r="G24" i="2"/>
  <c r="H24" i="2" s="1"/>
  <c r="E24" i="2"/>
  <c r="K24" i="2" s="1"/>
  <c r="G22" i="4"/>
  <c r="H22" i="4" s="1"/>
  <c r="E22" i="4"/>
  <c r="K22" i="4" s="1"/>
  <c r="G26" i="8"/>
  <c r="H26" i="8" s="1"/>
  <c r="E26" i="8"/>
  <c r="K26" i="8" s="1"/>
  <c r="G24" i="9"/>
  <c r="H24" i="9" s="1"/>
  <c r="E24" i="9"/>
  <c r="K24" i="9" s="1"/>
  <c r="G24" i="3"/>
  <c r="H24" i="3" s="1"/>
  <c r="E24" i="3"/>
  <c r="K24" i="3" s="1"/>
  <c r="G24" i="8"/>
  <c r="H24" i="8" s="1"/>
  <c r="E24" i="8"/>
  <c r="K24" i="8" s="1"/>
  <c r="G24" i="6"/>
  <c r="H24" i="6" s="1"/>
  <c r="E24" i="6"/>
  <c r="K24" i="6" s="1"/>
  <c r="G26" i="2"/>
  <c r="H26" i="2" s="1"/>
  <c r="E26" i="2"/>
  <c r="K26" i="2" s="1"/>
  <c r="G24" i="4"/>
  <c r="H24" i="4" s="1"/>
  <c r="E24" i="4"/>
  <c r="K24" i="4" s="1"/>
  <c r="G26" i="6"/>
  <c r="H26" i="6" s="1"/>
  <c r="E26" i="6"/>
  <c r="K26" i="6" s="1"/>
  <c r="G22" i="3"/>
  <c r="H22" i="3" s="1"/>
  <c r="E22" i="3"/>
  <c r="K22" i="3" s="1"/>
  <c r="G26" i="7"/>
  <c r="H26" i="7" s="1"/>
  <c r="E26" i="7"/>
  <c r="K26" i="7" s="1"/>
  <c r="G26" i="5"/>
  <c r="H26" i="5" s="1"/>
  <c r="E26" i="5"/>
  <c r="K26" i="5" s="1"/>
  <c r="G24" i="5"/>
  <c r="H24" i="5" s="1"/>
  <c r="E24" i="5"/>
  <c r="K24" i="5" s="1"/>
  <c r="G22" i="6"/>
  <c r="H22" i="6" s="1"/>
  <c r="E22" i="6"/>
  <c r="K22" i="6" s="1"/>
  <c r="G23" i="8"/>
  <c r="H23" i="8" s="1"/>
  <c r="E23" i="8"/>
  <c r="K23" i="8" s="1"/>
  <c r="G25" i="5"/>
  <c r="H25" i="5" s="1"/>
  <c r="E25" i="5"/>
  <c r="K25" i="5" s="1"/>
  <c r="G23" i="6"/>
  <c r="H23" i="6" s="1"/>
  <c r="E23" i="6"/>
  <c r="K23" i="6" s="1"/>
  <c r="G22" i="9"/>
  <c r="H22" i="9" s="1"/>
  <c r="E22" i="9"/>
  <c r="G26" i="3"/>
  <c r="H26" i="3" s="1"/>
  <c r="E26" i="3"/>
  <c r="K26" i="3" s="1"/>
  <c r="G22" i="5"/>
  <c r="H22" i="5" s="1"/>
  <c r="E22" i="5"/>
  <c r="K22" i="5" s="1"/>
  <c r="G23" i="7"/>
  <c r="H23" i="7" s="1"/>
  <c r="E23" i="7"/>
  <c r="K23" i="7" s="1"/>
  <c r="G22" i="2"/>
  <c r="H22" i="2" s="1"/>
  <c r="E22" i="2"/>
  <c r="G23" i="5"/>
  <c r="H23" i="5" s="1"/>
  <c r="E23" i="5"/>
  <c r="K23" i="5" s="1"/>
  <c r="G24" i="7"/>
  <c r="H24" i="7" s="1"/>
  <c r="E24" i="7"/>
  <c r="G26" i="4"/>
  <c r="H26" i="4" s="1"/>
  <c r="E26" i="4"/>
  <c r="G22" i="8"/>
  <c r="H22" i="8" s="1"/>
  <c r="E22" i="8"/>
  <c r="G26" i="9"/>
  <c r="H26" i="9" s="1"/>
  <c r="E26" i="9"/>
  <c r="K26" i="9" s="1"/>
  <c r="G23" i="3"/>
  <c r="H23" i="3" s="1"/>
  <c r="E23" i="3"/>
  <c r="K14" i="14"/>
  <c r="E12" i="11"/>
  <c r="E10" i="11"/>
  <c r="E8" i="11"/>
  <c r="E7" i="11"/>
  <c r="E254" i="11"/>
  <c r="E190" i="11"/>
  <c r="E143" i="11"/>
  <c r="E15" i="11"/>
  <c r="E239" i="11"/>
  <c r="E175" i="11"/>
  <c r="E238" i="11"/>
  <c r="E174" i="11"/>
  <c r="E127" i="11"/>
  <c r="E79" i="11"/>
  <c r="E126" i="11"/>
  <c r="E63" i="11"/>
  <c r="E78" i="11"/>
  <c r="E223" i="11"/>
  <c r="E160" i="11"/>
  <c r="E62" i="11"/>
  <c r="E222" i="11"/>
  <c r="E159" i="11"/>
  <c r="E111" i="11"/>
  <c r="E110" i="11"/>
  <c r="E47" i="11"/>
  <c r="E207" i="11"/>
  <c r="E46" i="11"/>
  <c r="E206" i="11"/>
  <c r="E95" i="11"/>
  <c r="C159" i="11"/>
  <c r="D159" i="11" s="1"/>
  <c r="E94" i="11"/>
  <c r="E31" i="11"/>
  <c r="E255" i="11"/>
  <c r="E191" i="11"/>
  <c r="E30" i="11"/>
  <c r="E142" i="11"/>
  <c r="E14" i="11"/>
  <c r="O245" i="11"/>
  <c r="O53" i="11"/>
  <c r="O229" i="11"/>
  <c r="O37" i="11"/>
  <c r="O213" i="11"/>
  <c r="O21" i="11"/>
  <c r="O197" i="11"/>
  <c r="O181" i="11"/>
  <c r="O165" i="11"/>
  <c r="O149" i="11"/>
  <c r="O133" i="11"/>
  <c r="O117" i="11"/>
  <c r="O101" i="11"/>
  <c r="O85" i="11"/>
  <c r="O261" i="11"/>
  <c r="O69" i="11"/>
  <c r="C71" i="11"/>
  <c r="D71" i="11" s="1"/>
  <c r="H27" i="6"/>
  <c r="H27" i="2"/>
  <c r="H21" i="2"/>
  <c r="H21" i="6"/>
  <c r="H21" i="9"/>
  <c r="H27" i="9"/>
  <c r="H12" i="7"/>
  <c r="H21" i="4"/>
  <c r="H12" i="9"/>
  <c r="H12" i="4"/>
  <c r="H27" i="4"/>
  <c r="H27" i="7"/>
  <c r="H12" i="5"/>
  <c r="H21" i="8"/>
  <c r="H21" i="7"/>
  <c r="H21" i="3"/>
  <c r="H27" i="3"/>
  <c r="H12" i="6"/>
  <c r="H21" i="5"/>
  <c r="H12" i="3"/>
  <c r="H27" i="5"/>
  <c r="H27" i="8"/>
  <c r="B9" i="11"/>
  <c r="E9" i="11" s="1"/>
  <c r="B11" i="11"/>
  <c r="E11" i="11" s="1"/>
  <c r="B13" i="11"/>
  <c r="E13" i="11" s="1"/>
  <c r="E7" i="2"/>
  <c r="K7" i="2" s="1"/>
  <c r="F14" i="14"/>
  <c r="H7" i="14"/>
  <c r="H14" i="14" s="1"/>
  <c r="I14" i="14" s="1"/>
  <c r="D137" i="14"/>
  <c r="G127" i="14"/>
  <c r="G137" i="14" s="1"/>
  <c r="H137" i="14" s="1"/>
  <c r="F137" i="14"/>
  <c r="G29" i="14"/>
  <c r="H22" i="14"/>
  <c r="H29" i="14" s="1"/>
  <c r="I29" i="14" s="1"/>
  <c r="E29" i="14"/>
  <c r="E14" i="14"/>
  <c r="G14" i="14"/>
  <c r="G34" i="14"/>
  <c r="G39" i="14" s="1"/>
  <c r="F39" i="14"/>
  <c r="D89" i="14"/>
  <c r="D57" i="14"/>
  <c r="G47" i="14"/>
  <c r="G57" i="14" s="1"/>
  <c r="H57" i="14" s="1"/>
  <c r="F57" i="14"/>
  <c r="D73" i="14"/>
  <c r="G78" i="14"/>
  <c r="G89" i="14" s="1"/>
  <c r="H89" i="14" s="1"/>
  <c r="F89" i="14"/>
  <c r="G63" i="14"/>
  <c r="G73" i="14" s="1"/>
  <c r="H73" i="14" s="1"/>
  <c r="F73" i="14"/>
  <c r="D121" i="14"/>
  <c r="G111" i="14"/>
  <c r="G121" i="14" s="1"/>
  <c r="H121" i="14" s="1"/>
  <c r="F121" i="14"/>
  <c r="D105" i="14"/>
  <c r="F105" i="14"/>
  <c r="G100" i="14"/>
  <c r="G105" i="14" s="1"/>
  <c r="H105" i="14" s="1"/>
  <c r="A52" i="13"/>
  <c r="A35" i="1"/>
  <c r="B35" i="1" s="1"/>
  <c r="A47" i="13"/>
  <c r="B47" i="13" s="1"/>
  <c r="B29" i="11"/>
  <c r="B32" i="11"/>
  <c r="E32" i="11" s="1"/>
  <c r="B27" i="11"/>
  <c r="B25" i="11"/>
  <c r="B16" i="11"/>
  <c r="E16" i="11" s="1"/>
  <c r="A40" i="11"/>
  <c r="E10" i="8"/>
  <c r="K10" i="8" s="1"/>
  <c r="E8" i="6"/>
  <c r="K8" i="6" s="1"/>
  <c r="E8" i="8"/>
  <c r="K8" i="8" s="1"/>
  <c r="E8" i="2"/>
  <c r="K8" i="2" s="1"/>
  <c r="D14" i="2"/>
  <c r="G5" i="12"/>
  <c r="H5" i="12" s="1"/>
  <c r="E10" i="3"/>
  <c r="K10" i="3" s="1"/>
  <c r="E10" i="7"/>
  <c r="K10" i="7" s="1"/>
  <c r="G8" i="2"/>
  <c r="G14" i="2" s="1"/>
  <c r="G10" i="3"/>
  <c r="G14" i="3" s="1"/>
  <c r="H8" i="9"/>
  <c r="G3" i="12"/>
  <c r="H3" i="12" s="1"/>
  <c r="E10" i="4"/>
  <c r="K10" i="4" s="1"/>
  <c r="H8" i="7"/>
  <c r="F14" i="2"/>
  <c r="H7" i="6"/>
  <c r="F8" i="6"/>
  <c r="H8" i="6" s="1"/>
  <c r="D14" i="6"/>
  <c r="H11" i="6"/>
  <c r="G25" i="3"/>
  <c r="H25" i="3" s="1"/>
  <c r="H10" i="6"/>
  <c r="H10" i="9"/>
  <c r="H8" i="3"/>
  <c r="H9" i="6"/>
  <c r="C14" i="6"/>
  <c r="E8" i="7"/>
  <c r="K8" i="7" s="1"/>
  <c r="E8" i="9"/>
  <c r="K8" i="9" s="1"/>
  <c r="E10" i="2"/>
  <c r="K10" i="2" s="1"/>
  <c r="E8" i="4"/>
  <c r="K8" i="4" s="1"/>
  <c r="E10" i="5"/>
  <c r="K10" i="5" s="1"/>
  <c r="E10" i="6"/>
  <c r="K10" i="6" s="1"/>
  <c r="E8" i="3"/>
  <c r="K8" i="3" s="1"/>
  <c r="C29" i="9"/>
  <c r="C14" i="7"/>
  <c r="D14" i="9"/>
  <c r="D14" i="7"/>
  <c r="F14" i="7"/>
  <c r="C29" i="3"/>
  <c r="E10" i="9"/>
  <c r="K10" i="9" s="1"/>
  <c r="C14" i="3"/>
  <c r="D29" i="3"/>
  <c r="D14" i="3"/>
  <c r="H10" i="7"/>
  <c r="C14" i="2"/>
  <c r="C14" i="9"/>
  <c r="M10" i="11"/>
  <c r="A42" i="11"/>
  <c r="A44" i="11" s="1"/>
  <c r="C44" i="11" s="1"/>
  <c r="A41" i="11"/>
  <c r="A43" i="11"/>
  <c r="A45" i="11" s="1"/>
  <c r="A46" i="11" s="1"/>
  <c r="A47" i="11" s="1"/>
  <c r="A48" i="11" s="1"/>
  <c r="L6" i="11"/>
  <c r="C8" i="11"/>
  <c r="D8" i="11" s="1"/>
  <c r="B43" i="11"/>
  <c r="B53" i="11"/>
  <c r="C87" i="11"/>
  <c r="D87" i="11" s="1"/>
  <c r="C151" i="11"/>
  <c r="D151" i="11" s="1"/>
  <c r="C215" i="11"/>
  <c r="D215" i="11" s="1"/>
  <c r="C32" i="11"/>
  <c r="C40" i="11"/>
  <c r="C43" i="11"/>
  <c r="C53" i="11"/>
  <c r="C70" i="11"/>
  <c r="C117" i="11"/>
  <c r="C134" i="11"/>
  <c r="C181" i="11"/>
  <c r="C198" i="11"/>
  <c r="C245" i="11"/>
  <c r="C7" i="11"/>
  <c r="D7" i="11" s="1"/>
  <c r="C23" i="11"/>
  <c r="D23" i="11" s="1"/>
  <c r="C26" i="11"/>
  <c r="D26" i="11" s="1"/>
  <c r="C29" i="11"/>
  <c r="C135" i="11"/>
  <c r="D135" i="11" s="1"/>
  <c r="C199" i="11"/>
  <c r="D199" i="11" s="1"/>
  <c r="C12" i="11"/>
  <c r="D12" i="11" s="1"/>
  <c r="B41" i="11"/>
  <c r="C54" i="11"/>
  <c r="C101" i="11"/>
  <c r="C118" i="11"/>
  <c r="C165" i="11"/>
  <c r="C182" i="11"/>
  <c r="C229" i="11"/>
  <c r="C246" i="11"/>
  <c r="C30" i="11"/>
  <c r="D30" i="11" s="1"/>
  <c r="C41" i="11"/>
  <c r="C24" i="11"/>
  <c r="D24" i="11" s="1"/>
  <c r="C27" i="11"/>
  <c r="C55" i="11"/>
  <c r="D55" i="11" s="1"/>
  <c r="C119" i="11"/>
  <c r="D119" i="11" s="1"/>
  <c r="C183" i="11"/>
  <c r="D183" i="11" s="1"/>
  <c r="C247" i="11"/>
  <c r="D247" i="11" s="1"/>
  <c r="B48" i="11"/>
  <c r="E48" i="11" s="1"/>
  <c r="C85" i="11"/>
  <c r="C102" i="11"/>
  <c r="C149" i="11"/>
  <c r="C166" i="11"/>
  <c r="C213" i="11"/>
  <c r="C230" i="11"/>
  <c r="C10" i="11"/>
  <c r="D10" i="11" s="1"/>
  <c r="B45" i="11"/>
  <c r="C48" i="11"/>
  <c r="C31" i="11"/>
  <c r="D31" i="11" s="1"/>
  <c r="C39" i="11"/>
  <c r="D39" i="11" s="1"/>
  <c r="C42" i="11"/>
  <c r="D42" i="11" s="1"/>
  <c r="C45" i="11"/>
  <c r="C103" i="11"/>
  <c r="D103" i="11" s="1"/>
  <c r="C167" i="11"/>
  <c r="D167" i="11" s="1"/>
  <c r="C231" i="11"/>
  <c r="D231" i="11" s="1"/>
  <c r="C9" i="11"/>
  <c r="C25" i="11"/>
  <c r="C28" i="11"/>
  <c r="D28" i="11" s="1"/>
  <c r="C69" i="11"/>
  <c r="C86" i="11"/>
  <c r="C133" i="11"/>
  <c r="C150" i="11"/>
  <c r="C197" i="11"/>
  <c r="C214" i="11"/>
  <c r="F29" i="3"/>
  <c r="D29" i="9"/>
  <c r="G25" i="9"/>
  <c r="H25" i="9" s="1"/>
  <c r="F23" i="9"/>
  <c r="F29" i="9" s="1"/>
  <c r="G23" i="9"/>
  <c r="F29" i="8"/>
  <c r="C29" i="8"/>
  <c r="G25" i="8"/>
  <c r="H25" i="8" s="1"/>
  <c r="D29" i="8"/>
  <c r="F29" i="7"/>
  <c r="C29" i="7"/>
  <c r="D29" i="7"/>
  <c r="H20" i="7"/>
  <c r="F29" i="6"/>
  <c r="C29" i="6"/>
  <c r="G25" i="6"/>
  <c r="H25" i="6" s="1"/>
  <c r="D29" i="6"/>
  <c r="F29" i="5"/>
  <c r="C29" i="5"/>
  <c r="D29" i="5"/>
  <c r="F29" i="4"/>
  <c r="G23" i="4"/>
  <c r="H23" i="4" s="1"/>
  <c r="G25" i="4"/>
  <c r="H25" i="4" s="1"/>
  <c r="C29" i="4"/>
  <c r="H20" i="4"/>
  <c r="D29" i="4"/>
  <c r="F29" i="2"/>
  <c r="H20" i="2"/>
  <c r="D29" i="2"/>
  <c r="C29" i="2"/>
  <c r="G23" i="2"/>
  <c r="H23" i="2" s="1"/>
  <c r="F14" i="3"/>
  <c r="H11" i="3"/>
  <c r="H9" i="3"/>
  <c r="H7" i="3"/>
  <c r="H5" i="3"/>
  <c r="E7" i="3"/>
  <c r="K7" i="3" s="1"/>
  <c r="E9" i="3"/>
  <c r="K9" i="3" s="1"/>
  <c r="E11" i="3"/>
  <c r="K11" i="3" s="1"/>
  <c r="H11" i="9"/>
  <c r="F14" i="9"/>
  <c r="H7" i="9"/>
  <c r="G14" i="9"/>
  <c r="H9" i="9"/>
  <c r="H5" i="9"/>
  <c r="E7" i="9"/>
  <c r="K7" i="9" s="1"/>
  <c r="E9" i="9"/>
  <c r="K9" i="9" s="1"/>
  <c r="E11" i="9"/>
  <c r="K11" i="9" s="1"/>
  <c r="H9" i="8"/>
  <c r="G14" i="8"/>
  <c r="H11" i="8"/>
  <c r="H7" i="8"/>
  <c r="H5" i="8"/>
  <c r="F10" i="8"/>
  <c r="H10" i="8" s="1"/>
  <c r="C14" i="8"/>
  <c r="F8" i="8"/>
  <c r="H8" i="8" s="1"/>
  <c r="D14" i="8"/>
  <c r="E7" i="8"/>
  <c r="K7" i="8" s="1"/>
  <c r="E9" i="8"/>
  <c r="K9" i="8" s="1"/>
  <c r="E11" i="8"/>
  <c r="K11" i="8" s="1"/>
  <c r="G14" i="7"/>
  <c r="H9" i="7"/>
  <c r="H7" i="7"/>
  <c r="H11" i="7"/>
  <c r="H5" i="7"/>
  <c r="E7" i="7"/>
  <c r="K7" i="7" s="1"/>
  <c r="E9" i="7"/>
  <c r="K9" i="7" s="1"/>
  <c r="E11" i="7"/>
  <c r="K11" i="7" s="1"/>
  <c r="G14" i="6"/>
  <c r="H5" i="6"/>
  <c r="E7" i="6"/>
  <c r="K7" i="6" s="1"/>
  <c r="E9" i="6"/>
  <c r="K9" i="6" s="1"/>
  <c r="E11" i="6"/>
  <c r="K11" i="6" s="1"/>
  <c r="H11" i="5"/>
  <c r="H8" i="5"/>
  <c r="H9" i="5"/>
  <c r="F14" i="5"/>
  <c r="H7" i="5"/>
  <c r="C14" i="5"/>
  <c r="G10" i="5"/>
  <c r="H10" i="5" s="1"/>
  <c r="D14" i="5"/>
  <c r="E8" i="5"/>
  <c r="K8" i="5" s="1"/>
  <c r="E7" i="5"/>
  <c r="K7" i="5" s="1"/>
  <c r="E9" i="5"/>
  <c r="K9" i="5" s="1"/>
  <c r="E11" i="5"/>
  <c r="K11" i="5" s="1"/>
  <c r="F14" i="4"/>
  <c r="H11" i="4"/>
  <c r="H9" i="4"/>
  <c r="H7" i="4"/>
  <c r="H5" i="4"/>
  <c r="G8" i="4"/>
  <c r="H8" i="4" s="1"/>
  <c r="G10" i="4"/>
  <c r="H10" i="4" s="1"/>
  <c r="C14" i="4"/>
  <c r="D14" i="4"/>
  <c r="E7" i="4"/>
  <c r="K7" i="4" s="1"/>
  <c r="E9" i="4"/>
  <c r="K9" i="4" s="1"/>
  <c r="E11" i="4"/>
  <c r="K11" i="4" s="1"/>
  <c r="H9" i="2"/>
  <c r="H10" i="2"/>
  <c r="H11" i="2"/>
  <c r="H7" i="2"/>
  <c r="H5" i="2"/>
  <c r="E11" i="2"/>
  <c r="K11" i="2" s="1"/>
  <c r="K29" i="6" l="1"/>
  <c r="K14" i="7"/>
  <c r="G29" i="7"/>
  <c r="G29" i="5"/>
  <c r="E29" i="7"/>
  <c r="K24" i="7"/>
  <c r="K29" i="7" s="1"/>
  <c r="K22" i="9"/>
  <c r="K29" i="9" s="1"/>
  <c r="E29" i="9"/>
  <c r="K14" i="4"/>
  <c r="K14" i="9"/>
  <c r="K14" i="2"/>
  <c r="E29" i="3"/>
  <c r="K23" i="3"/>
  <c r="K29" i="3" s="1"/>
  <c r="K22" i="2"/>
  <c r="K29" i="2" s="1"/>
  <c r="E29" i="2"/>
  <c r="K14" i="3"/>
  <c r="K29" i="5"/>
  <c r="K14" i="8"/>
  <c r="E29" i="4"/>
  <c r="K26" i="4"/>
  <c r="K29" i="4" s="1"/>
  <c r="K14" i="5"/>
  <c r="K14" i="6"/>
  <c r="K22" i="8"/>
  <c r="K29" i="8" s="1"/>
  <c r="E29" i="8"/>
  <c r="D21" i="11"/>
  <c r="N14" i="14"/>
  <c r="G17" i="1"/>
  <c r="O38" i="11"/>
  <c r="O39" i="11" s="1"/>
  <c r="L39" i="11" s="1"/>
  <c r="O54" i="11"/>
  <c r="O55" i="11" s="1"/>
  <c r="L55" i="11" s="1"/>
  <c r="O22" i="11"/>
  <c r="O23" i="11" s="1"/>
  <c r="L23" i="11" s="1"/>
  <c r="G20" i="1"/>
  <c r="G7" i="1"/>
  <c r="G4" i="1"/>
  <c r="H74" i="14"/>
  <c r="I74" i="14" s="1"/>
  <c r="I73" i="14"/>
  <c r="J73" i="14" s="1"/>
  <c r="H39" i="14"/>
  <c r="G18" i="1"/>
  <c r="G5" i="1"/>
  <c r="G25" i="1"/>
  <c r="G12" i="1"/>
  <c r="G8" i="1"/>
  <c r="G22" i="1"/>
  <c r="G9" i="1"/>
  <c r="G24" i="1"/>
  <c r="G11" i="1"/>
  <c r="G23" i="1"/>
  <c r="G10" i="1"/>
  <c r="B28" i="1"/>
  <c r="A28" i="1"/>
  <c r="D9" i="11"/>
  <c r="H10" i="3"/>
  <c r="H14" i="3" s="1"/>
  <c r="I14" i="3" s="1"/>
  <c r="C47" i="11"/>
  <c r="D47" i="11" s="1"/>
  <c r="C46" i="11"/>
  <c r="D46" i="11" s="1"/>
  <c r="F14" i="6"/>
  <c r="G29" i="3"/>
  <c r="H8" i="2"/>
  <c r="H14" i="2" s="1"/>
  <c r="E14" i="6"/>
  <c r="H14" i="8"/>
  <c r="E14" i="4"/>
  <c r="D25" i="11"/>
  <c r="H29" i="3"/>
  <c r="I29" i="3" s="1"/>
  <c r="H23" i="9"/>
  <c r="H29" i="9" s="1"/>
  <c r="I29" i="9" s="1"/>
  <c r="E14" i="8"/>
  <c r="H29" i="2"/>
  <c r="H29" i="6"/>
  <c r="H14" i="6"/>
  <c r="E14" i="2"/>
  <c r="H14" i="7"/>
  <c r="D48" i="11"/>
  <c r="E14" i="7"/>
  <c r="H29" i="8"/>
  <c r="I29" i="8" s="1"/>
  <c r="E14" i="3"/>
  <c r="H29" i="4"/>
  <c r="I29" i="4" s="1"/>
  <c r="E29" i="6"/>
  <c r="E14" i="5"/>
  <c r="E14" i="9"/>
  <c r="E29" i="5"/>
  <c r="H14" i="9"/>
  <c r="I14" i="9" s="1"/>
  <c r="H29" i="5"/>
  <c r="I29" i="5" s="1"/>
  <c r="H14" i="5"/>
  <c r="I14" i="5" s="1"/>
  <c r="C14" i="11"/>
  <c r="D14" i="11" s="1"/>
  <c r="L7" i="11"/>
  <c r="M11" i="11"/>
  <c r="D29" i="11"/>
  <c r="B69" i="11"/>
  <c r="A56" i="11"/>
  <c r="C11" i="11"/>
  <c r="D11" i="11" s="1"/>
  <c r="C13" i="11"/>
  <c r="D13" i="11" s="1"/>
  <c r="D43" i="11"/>
  <c r="D40" i="11"/>
  <c r="D44" i="11"/>
  <c r="D41" i="11"/>
  <c r="D32" i="11"/>
  <c r="D27" i="11"/>
  <c r="D45" i="11"/>
  <c r="G29" i="9"/>
  <c r="G29" i="8"/>
  <c r="H29" i="7"/>
  <c r="I29" i="7" s="1"/>
  <c r="G29" i="6"/>
  <c r="G29" i="4"/>
  <c r="G29" i="2"/>
  <c r="F14" i="8"/>
  <c r="G14" i="5"/>
  <c r="H14" i="4"/>
  <c r="I14" i="4" s="1"/>
  <c r="G14" i="4"/>
  <c r="L4" i="1" l="1"/>
  <c r="K29" i="1" s="1"/>
  <c r="I14" i="7"/>
  <c r="L17" i="1" s="1"/>
  <c r="H4" i="1"/>
  <c r="I14" i="2"/>
  <c r="I29" i="2"/>
  <c r="H18" i="1" s="1"/>
  <c r="O4" i="1"/>
  <c r="N29" i="1" s="1"/>
  <c r="K4" i="1"/>
  <c r="J29" i="1" s="1"/>
  <c r="I14" i="6"/>
  <c r="K17" i="1" s="1"/>
  <c r="I29" i="6"/>
  <c r="K18" i="1" s="1"/>
  <c r="M4" i="1"/>
  <c r="L29" i="1" s="1"/>
  <c r="I14" i="8"/>
  <c r="M17" i="1" s="1"/>
  <c r="L53" i="11"/>
  <c r="X15" i="11"/>
  <c r="L37" i="11"/>
  <c r="D38" i="11" s="1"/>
  <c r="J5" i="11" s="1" a="1"/>
  <c r="J5" i="11" s="1"/>
  <c r="Y9" i="11"/>
  <c r="L21" i="11"/>
  <c r="G21" i="1"/>
  <c r="D37" i="11"/>
  <c r="D53" i="11"/>
  <c r="I4" i="11"/>
  <c r="H5" i="1"/>
  <c r="G30" i="1" s="1"/>
  <c r="O5" i="1"/>
  <c r="N30" i="1" s="1"/>
  <c r="K5" i="1"/>
  <c r="J30" i="1" s="1"/>
  <c r="J17" i="1"/>
  <c r="J4" i="1"/>
  <c r="I17" i="1"/>
  <c r="I4" i="1"/>
  <c r="H29" i="1" s="1"/>
  <c r="I18" i="1"/>
  <c r="I5" i="1"/>
  <c r="H30" i="1" s="1"/>
  <c r="N17" i="1"/>
  <c r="N4" i="1"/>
  <c r="M29" i="1" s="1"/>
  <c r="N18" i="1"/>
  <c r="N5" i="1"/>
  <c r="M30" i="1" s="1"/>
  <c r="M18" i="1"/>
  <c r="M5" i="1"/>
  <c r="L30" i="1" s="1"/>
  <c r="L18" i="1"/>
  <c r="L5" i="1"/>
  <c r="K30" i="1" s="1"/>
  <c r="J18" i="1"/>
  <c r="J5" i="1"/>
  <c r="I30" i="1" s="1"/>
  <c r="B85" i="11"/>
  <c r="A72" i="11"/>
  <c r="L8" i="11"/>
  <c r="A59" i="11"/>
  <c r="A58" i="11"/>
  <c r="A57" i="11"/>
  <c r="C57" i="11" s="1"/>
  <c r="C56" i="11"/>
  <c r="D56" i="11" s="1"/>
  <c r="M12" i="11"/>
  <c r="B57" i="11"/>
  <c r="B59" i="11"/>
  <c r="B61" i="11"/>
  <c r="B64" i="11"/>
  <c r="E64" i="11" s="1"/>
  <c r="O70" i="11" s="1"/>
  <c r="O71" i="11" s="1"/>
  <c r="L71" i="11" s="1"/>
  <c r="C15" i="11"/>
  <c r="D15" i="11" s="1"/>
  <c r="C127" i="4"/>
  <c r="E34" i="2"/>
  <c r="C78" i="3"/>
  <c r="C78" i="9"/>
  <c r="C78" i="8"/>
  <c r="C78" i="7"/>
  <c r="C78" i="5"/>
  <c r="C78" i="4"/>
  <c r="C78" i="2"/>
  <c r="C79" i="2"/>
  <c r="E111" i="2"/>
  <c r="C80" i="3"/>
  <c r="C79" i="3"/>
  <c r="C81" i="3"/>
  <c r="C82" i="3"/>
  <c r="C83" i="3"/>
  <c r="C84" i="3"/>
  <c r="C85" i="3"/>
  <c r="C86" i="3"/>
  <c r="C87" i="3"/>
  <c r="C80" i="9"/>
  <c r="C81" i="9"/>
  <c r="C82" i="9"/>
  <c r="C83" i="9"/>
  <c r="C84" i="9"/>
  <c r="C85" i="9"/>
  <c r="C86" i="9"/>
  <c r="C87" i="9"/>
  <c r="C79" i="9"/>
  <c r="C80" i="8"/>
  <c r="C81" i="8"/>
  <c r="C82" i="8"/>
  <c r="C83" i="8"/>
  <c r="C84" i="8"/>
  <c r="C85" i="8"/>
  <c r="C86" i="8"/>
  <c r="C87" i="8"/>
  <c r="C79" i="8"/>
  <c r="C80" i="7"/>
  <c r="C81" i="7"/>
  <c r="C82" i="7"/>
  <c r="C83" i="7"/>
  <c r="C84" i="7"/>
  <c r="C85" i="7"/>
  <c r="C86" i="7"/>
  <c r="C87" i="7"/>
  <c r="C79" i="7"/>
  <c r="C80" i="5"/>
  <c r="C81" i="5"/>
  <c r="C82" i="5"/>
  <c r="C83" i="5"/>
  <c r="C84" i="5"/>
  <c r="C85" i="5"/>
  <c r="C86" i="5"/>
  <c r="C87" i="5"/>
  <c r="C79" i="5"/>
  <c r="C80" i="4"/>
  <c r="C81" i="4"/>
  <c r="C82" i="4"/>
  <c r="C83" i="4"/>
  <c r="C84" i="4"/>
  <c r="C85" i="4"/>
  <c r="C86" i="4"/>
  <c r="C87" i="4"/>
  <c r="C79" i="4"/>
  <c r="C80" i="2"/>
  <c r="C81" i="2"/>
  <c r="C82" i="2"/>
  <c r="C83" i="2"/>
  <c r="C84" i="2"/>
  <c r="C85" i="2"/>
  <c r="C86" i="2"/>
  <c r="C87" i="2"/>
  <c r="D54" i="11" l="1"/>
  <c r="I29" i="1"/>
  <c r="G29" i="1"/>
  <c r="I5" i="11" a="1"/>
  <c r="I5" i="11" s="1"/>
  <c r="I6" i="11" a="1"/>
  <c r="I6" i="11" s="1"/>
  <c r="C16" i="11"/>
  <c r="D16" i="11" s="1"/>
  <c r="A73" i="11"/>
  <c r="C73" i="11" s="1"/>
  <c r="A75" i="11"/>
  <c r="A74" i="11"/>
  <c r="C72" i="11"/>
  <c r="D72" i="11" s="1"/>
  <c r="B77" i="11"/>
  <c r="B80" i="11"/>
  <c r="E80" i="11" s="1"/>
  <c r="O86" i="11" s="1"/>
  <c r="O87" i="11" s="1"/>
  <c r="L87" i="11" s="1"/>
  <c r="B75" i="11"/>
  <c r="B73" i="11"/>
  <c r="A61" i="11"/>
  <c r="C59" i="11"/>
  <c r="D59" i="11" s="1"/>
  <c r="A60" i="11"/>
  <c r="C60" i="11" s="1"/>
  <c r="D60" i="11" s="1"/>
  <c r="C58" i="11"/>
  <c r="D58" i="11" s="1"/>
  <c r="B101" i="11"/>
  <c r="A88" i="11"/>
  <c r="D57" i="11"/>
  <c r="L9" i="11"/>
  <c r="M13" i="11"/>
  <c r="B137" i="9"/>
  <c r="E135" i="9"/>
  <c r="C135" i="9"/>
  <c r="D135" i="9" s="1"/>
  <c r="E134" i="9"/>
  <c r="C134" i="9"/>
  <c r="F134" i="9" s="1"/>
  <c r="E133" i="9"/>
  <c r="C133" i="9"/>
  <c r="F133" i="9" s="1"/>
  <c r="G133" i="9" s="1"/>
  <c r="E132" i="9"/>
  <c r="C132" i="9"/>
  <c r="D132" i="9" s="1"/>
  <c r="E131" i="9"/>
  <c r="C131" i="9"/>
  <c r="F131" i="9" s="1"/>
  <c r="E130" i="9"/>
  <c r="C130" i="9"/>
  <c r="F130" i="9" s="1"/>
  <c r="E129" i="9"/>
  <c r="C129" i="9"/>
  <c r="F129" i="9" s="1"/>
  <c r="E128" i="9"/>
  <c r="C128" i="9"/>
  <c r="D128" i="9" s="1"/>
  <c r="E127" i="9"/>
  <c r="C127" i="9"/>
  <c r="F127" i="9" s="1"/>
  <c r="F126" i="9"/>
  <c r="E126" i="9"/>
  <c r="D126" i="9"/>
  <c r="F125" i="9"/>
  <c r="E125" i="9"/>
  <c r="D125" i="9"/>
  <c r="B121" i="9"/>
  <c r="E119" i="9"/>
  <c r="C119" i="9"/>
  <c r="F119" i="9" s="1"/>
  <c r="G119" i="9" s="1"/>
  <c r="E118" i="9"/>
  <c r="C118" i="9"/>
  <c r="F118" i="9" s="1"/>
  <c r="G118" i="9" s="1"/>
  <c r="E117" i="9"/>
  <c r="C117" i="9"/>
  <c r="F117" i="9" s="1"/>
  <c r="G117" i="9" s="1"/>
  <c r="E116" i="9"/>
  <c r="C116" i="9"/>
  <c r="D116" i="9" s="1"/>
  <c r="E115" i="9"/>
  <c r="C115" i="9"/>
  <c r="F115" i="9" s="1"/>
  <c r="G115" i="9" s="1"/>
  <c r="E114" i="9"/>
  <c r="C114" i="9"/>
  <c r="F114" i="9" s="1"/>
  <c r="E113" i="9"/>
  <c r="C113" i="9"/>
  <c r="F113" i="9" s="1"/>
  <c r="E112" i="9"/>
  <c r="C112" i="9"/>
  <c r="D112" i="9" s="1"/>
  <c r="E111" i="9"/>
  <c r="C111" i="9"/>
  <c r="F110" i="9"/>
  <c r="E110" i="9"/>
  <c r="D110" i="9"/>
  <c r="F109" i="9"/>
  <c r="E109" i="9"/>
  <c r="D109" i="9"/>
  <c r="B105" i="9"/>
  <c r="E103" i="9"/>
  <c r="C103" i="9"/>
  <c r="D103" i="9" s="1"/>
  <c r="E102" i="9"/>
  <c r="C102" i="9"/>
  <c r="F102" i="9" s="1"/>
  <c r="E101" i="9"/>
  <c r="C101" i="9"/>
  <c r="F101" i="9" s="1"/>
  <c r="E100" i="9"/>
  <c r="C100" i="9"/>
  <c r="D100" i="9" s="1"/>
  <c r="E99" i="9"/>
  <c r="C99" i="9"/>
  <c r="F99" i="9" s="1"/>
  <c r="G99" i="9" s="1"/>
  <c r="E98" i="9"/>
  <c r="C98" i="9"/>
  <c r="F98" i="9" s="1"/>
  <c r="E97" i="9"/>
  <c r="C97" i="9"/>
  <c r="F97" i="9" s="1"/>
  <c r="E96" i="9"/>
  <c r="C96" i="9"/>
  <c r="E95" i="9"/>
  <c r="C95" i="9"/>
  <c r="F95" i="9" s="1"/>
  <c r="F94" i="9"/>
  <c r="E94" i="9"/>
  <c r="D94" i="9"/>
  <c r="F93" i="9"/>
  <c r="E93" i="9"/>
  <c r="D93" i="9"/>
  <c r="B89" i="9"/>
  <c r="E87" i="9"/>
  <c r="F87" i="9"/>
  <c r="G87" i="9" s="1"/>
  <c r="E86" i="9"/>
  <c r="F86" i="9"/>
  <c r="G86" i="9" s="1"/>
  <c r="E85" i="9"/>
  <c r="F85" i="9"/>
  <c r="G85" i="9" s="1"/>
  <c r="E84" i="9"/>
  <c r="D84" i="9"/>
  <c r="E83" i="9"/>
  <c r="F83" i="9"/>
  <c r="E82" i="9"/>
  <c r="F82" i="9"/>
  <c r="E81" i="9"/>
  <c r="F81" i="9"/>
  <c r="E80" i="9"/>
  <c r="E79" i="9"/>
  <c r="F79" i="9"/>
  <c r="F78" i="9"/>
  <c r="E78" i="9"/>
  <c r="D78" i="9"/>
  <c r="F77" i="9"/>
  <c r="E77" i="9"/>
  <c r="D77" i="9"/>
  <c r="B73" i="9"/>
  <c r="E71" i="9"/>
  <c r="F71" i="9"/>
  <c r="E70" i="9"/>
  <c r="F70" i="9"/>
  <c r="E69" i="9"/>
  <c r="F69" i="9"/>
  <c r="E68" i="9"/>
  <c r="D68" i="9"/>
  <c r="E67" i="9"/>
  <c r="F67" i="9"/>
  <c r="E66" i="9"/>
  <c r="D66" i="9"/>
  <c r="F66" i="9"/>
  <c r="E65" i="9"/>
  <c r="F65" i="9"/>
  <c r="E64" i="9"/>
  <c r="E63" i="9"/>
  <c r="D63" i="9"/>
  <c r="F62" i="9"/>
  <c r="E62" i="9"/>
  <c r="D62" i="9"/>
  <c r="F61" i="9"/>
  <c r="E61" i="9"/>
  <c r="D61" i="9"/>
  <c r="B57" i="9"/>
  <c r="E55" i="9"/>
  <c r="D55" i="9"/>
  <c r="E54" i="9"/>
  <c r="F54" i="9"/>
  <c r="E53" i="9"/>
  <c r="F53" i="9"/>
  <c r="G53" i="9" s="1"/>
  <c r="E52" i="9"/>
  <c r="D52" i="9"/>
  <c r="E51" i="9"/>
  <c r="F51" i="9"/>
  <c r="E50" i="9"/>
  <c r="F50" i="9"/>
  <c r="G50" i="9" s="1"/>
  <c r="E49" i="9"/>
  <c r="F49" i="9"/>
  <c r="E48" i="9"/>
  <c r="E47" i="9"/>
  <c r="F47" i="9"/>
  <c r="F46" i="9"/>
  <c r="E46" i="9"/>
  <c r="D46" i="9"/>
  <c r="F45" i="9"/>
  <c r="E45" i="9"/>
  <c r="D45" i="9"/>
  <c r="B39" i="9"/>
  <c r="E37" i="9"/>
  <c r="E36" i="9"/>
  <c r="E35" i="9"/>
  <c r="E34" i="9"/>
  <c r="F33" i="9"/>
  <c r="E33" i="9"/>
  <c r="D33" i="9"/>
  <c r="B137" i="8"/>
  <c r="E135" i="8"/>
  <c r="C135" i="8"/>
  <c r="F135" i="8" s="1"/>
  <c r="G135" i="8" s="1"/>
  <c r="E134" i="8"/>
  <c r="C134" i="8"/>
  <c r="F134" i="8" s="1"/>
  <c r="E133" i="8"/>
  <c r="C133" i="8"/>
  <c r="F133" i="8" s="1"/>
  <c r="E132" i="8"/>
  <c r="C132" i="8"/>
  <c r="D132" i="8" s="1"/>
  <c r="E131" i="8"/>
  <c r="C131" i="8"/>
  <c r="D131" i="8" s="1"/>
  <c r="E130" i="8"/>
  <c r="C130" i="8"/>
  <c r="F130" i="8" s="1"/>
  <c r="E129" i="8"/>
  <c r="C129" i="8"/>
  <c r="F129" i="8" s="1"/>
  <c r="E128" i="8"/>
  <c r="C128" i="8"/>
  <c r="F128" i="8" s="1"/>
  <c r="G128" i="8" s="1"/>
  <c r="E127" i="8"/>
  <c r="C127" i="8"/>
  <c r="F127" i="8" s="1"/>
  <c r="F126" i="8"/>
  <c r="E126" i="8"/>
  <c r="G126" i="8" s="1"/>
  <c r="D126" i="8"/>
  <c r="F125" i="8"/>
  <c r="E125" i="8"/>
  <c r="D125" i="8"/>
  <c r="B121" i="8"/>
  <c r="E119" i="8"/>
  <c r="C119" i="8"/>
  <c r="F119" i="8" s="1"/>
  <c r="G119" i="8" s="1"/>
  <c r="E118" i="8"/>
  <c r="C118" i="8"/>
  <c r="F118" i="8" s="1"/>
  <c r="G118" i="8" s="1"/>
  <c r="E117" i="8"/>
  <c r="C117" i="8"/>
  <c r="F117" i="8" s="1"/>
  <c r="E116" i="8"/>
  <c r="C116" i="8"/>
  <c r="D116" i="8" s="1"/>
  <c r="E115" i="8"/>
  <c r="C115" i="8"/>
  <c r="D115" i="8" s="1"/>
  <c r="E114" i="8"/>
  <c r="C114" i="8"/>
  <c r="F114" i="8" s="1"/>
  <c r="G114" i="8" s="1"/>
  <c r="E113" i="8"/>
  <c r="C113" i="8"/>
  <c r="F113" i="8" s="1"/>
  <c r="E112" i="8"/>
  <c r="C112" i="8"/>
  <c r="F112" i="8" s="1"/>
  <c r="E111" i="8"/>
  <c r="C111" i="8"/>
  <c r="F111" i="8" s="1"/>
  <c r="G111" i="8" s="1"/>
  <c r="F110" i="8"/>
  <c r="G110" i="8" s="1"/>
  <c r="E110" i="8"/>
  <c r="D110" i="8"/>
  <c r="F109" i="8"/>
  <c r="E109" i="8"/>
  <c r="D109" i="8"/>
  <c r="B105" i="8"/>
  <c r="E103" i="8"/>
  <c r="C103" i="8"/>
  <c r="F103" i="8" s="1"/>
  <c r="E102" i="8"/>
  <c r="C102" i="8"/>
  <c r="F102" i="8" s="1"/>
  <c r="E101" i="8"/>
  <c r="C101" i="8"/>
  <c r="F101" i="8" s="1"/>
  <c r="E100" i="8"/>
  <c r="C100" i="8"/>
  <c r="D100" i="8" s="1"/>
  <c r="E99" i="8"/>
  <c r="C99" i="8"/>
  <c r="D99" i="8" s="1"/>
  <c r="E98" i="8"/>
  <c r="C98" i="8"/>
  <c r="F98" i="8" s="1"/>
  <c r="E97" i="8"/>
  <c r="C97" i="8"/>
  <c r="F97" i="8" s="1"/>
  <c r="E96" i="8"/>
  <c r="C96" i="8"/>
  <c r="F96" i="8" s="1"/>
  <c r="E95" i="8"/>
  <c r="C95" i="8"/>
  <c r="F94" i="8"/>
  <c r="E94" i="8"/>
  <c r="D94" i="8"/>
  <c r="F93" i="8"/>
  <c r="E93" i="8"/>
  <c r="D93" i="8"/>
  <c r="B89" i="8"/>
  <c r="E87" i="8"/>
  <c r="F87" i="8"/>
  <c r="G87" i="8" s="1"/>
  <c r="E86" i="8"/>
  <c r="F86" i="8"/>
  <c r="G86" i="8" s="1"/>
  <c r="E85" i="8"/>
  <c r="F85" i="8"/>
  <c r="G85" i="8" s="1"/>
  <c r="E84" i="8"/>
  <c r="D84" i="8"/>
  <c r="E83" i="8"/>
  <c r="D83" i="8"/>
  <c r="E82" i="8"/>
  <c r="F82" i="8"/>
  <c r="E81" i="8"/>
  <c r="D81" i="8"/>
  <c r="F81" i="8"/>
  <c r="E80" i="8"/>
  <c r="F79" i="8"/>
  <c r="E79" i="8"/>
  <c r="D79" i="8"/>
  <c r="F78" i="8"/>
  <c r="G78" i="8" s="1"/>
  <c r="E78" i="8"/>
  <c r="D78" i="8"/>
  <c r="F77" i="8"/>
  <c r="E77" i="8"/>
  <c r="D77" i="8"/>
  <c r="B73" i="8"/>
  <c r="E71" i="8"/>
  <c r="F71" i="8"/>
  <c r="G71" i="8" s="1"/>
  <c r="E70" i="8"/>
  <c r="F70" i="8"/>
  <c r="G70" i="8" s="1"/>
  <c r="E69" i="8"/>
  <c r="F69" i="8"/>
  <c r="G69" i="8" s="1"/>
  <c r="E68" i="8"/>
  <c r="D68" i="8"/>
  <c r="E67" i="8"/>
  <c r="D67" i="8"/>
  <c r="E66" i="8"/>
  <c r="F66" i="8"/>
  <c r="E65" i="8"/>
  <c r="D65" i="8"/>
  <c r="F65" i="8"/>
  <c r="E64" i="8"/>
  <c r="E63" i="8"/>
  <c r="F63" i="8"/>
  <c r="F62" i="8"/>
  <c r="E62" i="8"/>
  <c r="D62" i="8"/>
  <c r="F61" i="8"/>
  <c r="E61" i="8"/>
  <c r="D61" i="8"/>
  <c r="B57" i="8"/>
  <c r="E55" i="8"/>
  <c r="F55" i="8"/>
  <c r="G55" i="8" s="1"/>
  <c r="E54" i="8"/>
  <c r="F54" i="8"/>
  <c r="G54" i="8" s="1"/>
  <c r="E53" i="8"/>
  <c r="F53" i="8"/>
  <c r="G53" i="8" s="1"/>
  <c r="E52" i="8"/>
  <c r="D52" i="8"/>
  <c r="E51" i="8"/>
  <c r="D51" i="8"/>
  <c r="E50" i="8"/>
  <c r="F50" i="8"/>
  <c r="G50" i="8" s="1"/>
  <c r="E49" i="8"/>
  <c r="F49" i="8"/>
  <c r="G49" i="8" s="1"/>
  <c r="E48" i="8"/>
  <c r="E47" i="8"/>
  <c r="D47" i="8"/>
  <c r="F46" i="8"/>
  <c r="E46" i="8"/>
  <c r="D46" i="8"/>
  <c r="F45" i="8"/>
  <c r="E45" i="8"/>
  <c r="D45" i="8"/>
  <c r="B39" i="8"/>
  <c r="E37" i="8"/>
  <c r="E36" i="8"/>
  <c r="E35" i="8"/>
  <c r="E34" i="8"/>
  <c r="F33" i="8"/>
  <c r="E33" i="8"/>
  <c r="E39" i="8" s="1"/>
  <c r="D33" i="8"/>
  <c r="B137" i="7"/>
  <c r="E135" i="7"/>
  <c r="C135" i="7"/>
  <c r="F135" i="7" s="1"/>
  <c r="E134" i="7"/>
  <c r="C134" i="7"/>
  <c r="F134" i="7" s="1"/>
  <c r="G134" i="7" s="1"/>
  <c r="E133" i="7"/>
  <c r="C133" i="7"/>
  <c r="F133" i="7" s="1"/>
  <c r="E132" i="7"/>
  <c r="C132" i="7"/>
  <c r="D132" i="7" s="1"/>
  <c r="E131" i="7"/>
  <c r="C131" i="7"/>
  <c r="F131" i="7" s="1"/>
  <c r="E130" i="7"/>
  <c r="C130" i="7"/>
  <c r="D130" i="7" s="1"/>
  <c r="E129" i="7"/>
  <c r="C129" i="7"/>
  <c r="D129" i="7" s="1"/>
  <c r="E128" i="7"/>
  <c r="C128" i="7"/>
  <c r="F128" i="7" s="1"/>
  <c r="E127" i="7"/>
  <c r="C127" i="7"/>
  <c r="F126" i="7"/>
  <c r="E126" i="7"/>
  <c r="D126" i="7"/>
  <c r="F125" i="7"/>
  <c r="E125" i="7"/>
  <c r="D125" i="7"/>
  <c r="B121" i="7"/>
  <c r="E119" i="7"/>
  <c r="C119" i="7"/>
  <c r="D119" i="7" s="1"/>
  <c r="E118" i="7"/>
  <c r="C118" i="7"/>
  <c r="F118" i="7" s="1"/>
  <c r="E117" i="7"/>
  <c r="C117" i="7"/>
  <c r="F117" i="7" s="1"/>
  <c r="G117" i="7" s="1"/>
  <c r="E116" i="7"/>
  <c r="C116" i="7"/>
  <c r="D116" i="7" s="1"/>
  <c r="E115" i="7"/>
  <c r="C115" i="7"/>
  <c r="F115" i="7" s="1"/>
  <c r="E114" i="7"/>
  <c r="C114" i="7"/>
  <c r="F114" i="7" s="1"/>
  <c r="G114" i="7" s="1"/>
  <c r="E113" i="7"/>
  <c r="C113" i="7"/>
  <c r="F113" i="7" s="1"/>
  <c r="G113" i="7" s="1"/>
  <c r="E112" i="7"/>
  <c r="C112" i="7"/>
  <c r="F112" i="7" s="1"/>
  <c r="E111" i="7"/>
  <c r="C111" i="7"/>
  <c r="F111" i="7" s="1"/>
  <c r="F110" i="7"/>
  <c r="G110" i="7" s="1"/>
  <c r="E110" i="7"/>
  <c r="D110" i="7"/>
  <c r="F109" i="7"/>
  <c r="E109" i="7"/>
  <c r="D109" i="7"/>
  <c r="B105" i="7"/>
  <c r="E103" i="7"/>
  <c r="C103" i="7"/>
  <c r="D103" i="7" s="1"/>
  <c r="E102" i="7"/>
  <c r="C102" i="7"/>
  <c r="F102" i="7" s="1"/>
  <c r="E101" i="7"/>
  <c r="C101" i="7"/>
  <c r="F101" i="7" s="1"/>
  <c r="E100" i="7"/>
  <c r="C100" i="7"/>
  <c r="D100" i="7" s="1"/>
  <c r="E99" i="7"/>
  <c r="C99" i="7"/>
  <c r="F99" i="7" s="1"/>
  <c r="E98" i="7"/>
  <c r="C98" i="7"/>
  <c r="F98" i="7" s="1"/>
  <c r="E97" i="7"/>
  <c r="C97" i="7"/>
  <c r="F97" i="7" s="1"/>
  <c r="E96" i="7"/>
  <c r="C96" i="7"/>
  <c r="F96" i="7" s="1"/>
  <c r="E95" i="7"/>
  <c r="C95" i="7"/>
  <c r="F94" i="7"/>
  <c r="E94" i="7"/>
  <c r="D94" i="7"/>
  <c r="F93" i="7"/>
  <c r="E93" i="7"/>
  <c r="D93" i="7"/>
  <c r="B89" i="7"/>
  <c r="E87" i="7"/>
  <c r="F87" i="7"/>
  <c r="G87" i="7" s="1"/>
  <c r="E86" i="7"/>
  <c r="F86" i="7"/>
  <c r="G86" i="7" s="1"/>
  <c r="E85" i="7"/>
  <c r="F85" i="7"/>
  <c r="G85" i="7" s="1"/>
  <c r="E84" i="7"/>
  <c r="D84" i="7"/>
  <c r="E83" i="7"/>
  <c r="F83" i="7"/>
  <c r="G83" i="7" s="1"/>
  <c r="E82" i="7"/>
  <c r="F82" i="7"/>
  <c r="E81" i="7"/>
  <c r="F81" i="7"/>
  <c r="E80" i="7"/>
  <c r="E79" i="7"/>
  <c r="F79" i="7"/>
  <c r="G79" i="7" s="1"/>
  <c r="F78" i="7"/>
  <c r="G78" i="7" s="1"/>
  <c r="E78" i="7"/>
  <c r="D78" i="7"/>
  <c r="F77" i="7"/>
  <c r="E77" i="7"/>
  <c r="D77" i="7"/>
  <c r="B73" i="7"/>
  <c r="E71" i="7"/>
  <c r="F71" i="7"/>
  <c r="E70" i="7"/>
  <c r="F70" i="7"/>
  <c r="E69" i="7"/>
  <c r="F69" i="7"/>
  <c r="G69" i="7" s="1"/>
  <c r="E68" i="7"/>
  <c r="D68" i="7"/>
  <c r="E67" i="7"/>
  <c r="F67" i="7"/>
  <c r="E66" i="7"/>
  <c r="F66" i="7"/>
  <c r="E65" i="7"/>
  <c r="F65" i="7"/>
  <c r="E64" i="7"/>
  <c r="F63" i="7"/>
  <c r="E63" i="7"/>
  <c r="D63" i="7"/>
  <c r="F62" i="7"/>
  <c r="G62" i="7" s="1"/>
  <c r="E62" i="7"/>
  <c r="D62" i="7"/>
  <c r="F61" i="7"/>
  <c r="E61" i="7"/>
  <c r="D61" i="7"/>
  <c r="B57" i="7"/>
  <c r="E55" i="7"/>
  <c r="F55" i="7"/>
  <c r="G55" i="7" s="1"/>
  <c r="E54" i="7"/>
  <c r="F54" i="7"/>
  <c r="G54" i="7" s="1"/>
  <c r="E53" i="7"/>
  <c r="F53" i="7"/>
  <c r="G53" i="7" s="1"/>
  <c r="E52" i="7"/>
  <c r="D52" i="7"/>
  <c r="E51" i="7"/>
  <c r="F51" i="7"/>
  <c r="E50" i="7"/>
  <c r="D50" i="7"/>
  <c r="E49" i="7"/>
  <c r="F49" i="7"/>
  <c r="E48" i="7"/>
  <c r="E47" i="7"/>
  <c r="F47" i="7"/>
  <c r="G47" i="7" s="1"/>
  <c r="F46" i="7"/>
  <c r="E46" i="7"/>
  <c r="D46" i="7"/>
  <c r="F45" i="7"/>
  <c r="E45" i="7"/>
  <c r="D45" i="7"/>
  <c r="B39" i="7"/>
  <c r="E37" i="7"/>
  <c r="E36" i="7"/>
  <c r="E35" i="7"/>
  <c r="E34" i="7"/>
  <c r="F33" i="7"/>
  <c r="E33" i="7"/>
  <c r="D33" i="7"/>
  <c r="B137" i="6"/>
  <c r="E135" i="6"/>
  <c r="C135" i="6"/>
  <c r="F135" i="6" s="1"/>
  <c r="E134" i="6"/>
  <c r="C134" i="6"/>
  <c r="F134" i="6" s="1"/>
  <c r="E133" i="6"/>
  <c r="C133" i="6"/>
  <c r="F133" i="6" s="1"/>
  <c r="E132" i="6"/>
  <c r="C132" i="6"/>
  <c r="D132" i="6" s="1"/>
  <c r="E131" i="6"/>
  <c r="C131" i="6"/>
  <c r="D131" i="6" s="1"/>
  <c r="E130" i="6"/>
  <c r="C130" i="6"/>
  <c r="F130" i="6" s="1"/>
  <c r="E129" i="6"/>
  <c r="C129" i="6"/>
  <c r="F129" i="6" s="1"/>
  <c r="E128" i="6"/>
  <c r="C128" i="6"/>
  <c r="F128" i="6" s="1"/>
  <c r="E127" i="6"/>
  <c r="C127" i="6"/>
  <c r="F126" i="6"/>
  <c r="E126" i="6"/>
  <c r="D126" i="6"/>
  <c r="F125" i="6"/>
  <c r="E125" i="6"/>
  <c r="D125" i="6"/>
  <c r="B121" i="6"/>
  <c r="E119" i="6"/>
  <c r="C119" i="6"/>
  <c r="F119" i="6" s="1"/>
  <c r="G119" i="6" s="1"/>
  <c r="E118" i="6"/>
  <c r="C118" i="6"/>
  <c r="F118" i="6" s="1"/>
  <c r="G118" i="6" s="1"/>
  <c r="E117" i="6"/>
  <c r="C117" i="6"/>
  <c r="F117" i="6" s="1"/>
  <c r="G117" i="6" s="1"/>
  <c r="E116" i="6"/>
  <c r="C116" i="6"/>
  <c r="D116" i="6" s="1"/>
  <c r="E115" i="6"/>
  <c r="C115" i="6"/>
  <c r="D115" i="6" s="1"/>
  <c r="E114" i="6"/>
  <c r="C114" i="6"/>
  <c r="F114" i="6" s="1"/>
  <c r="E113" i="6"/>
  <c r="C113" i="6"/>
  <c r="F113" i="6" s="1"/>
  <c r="E112" i="6"/>
  <c r="C112" i="6"/>
  <c r="F112" i="6" s="1"/>
  <c r="E111" i="6"/>
  <c r="C111" i="6"/>
  <c r="F110" i="6"/>
  <c r="G110" i="6" s="1"/>
  <c r="E110" i="6"/>
  <c r="D110" i="6"/>
  <c r="F109" i="6"/>
  <c r="E109" i="6"/>
  <c r="D109" i="6"/>
  <c r="B105" i="6"/>
  <c r="E103" i="6"/>
  <c r="C103" i="6"/>
  <c r="F103" i="6" s="1"/>
  <c r="G103" i="6" s="1"/>
  <c r="E102" i="6"/>
  <c r="C102" i="6"/>
  <c r="F102" i="6" s="1"/>
  <c r="E101" i="6"/>
  <c r="C101" i="6"/>
  <c r="F101" i="6" s="1"/>
  <c r="E100" i="6"/>
  <c r="C100" i="6"/>
  <c r="D100" i="6" s="1"/>
  <c r="E99" i="6"/>
  <c r="C99" i="6"/>
  <c r="D99" i="6" s="1"/>
  <c r="E98" i="6"/>
  <c r="C98" i="6"/>
  <c r="F98" i="6" s="1"/>
  <c r="E97" i="6"/>
  <c r="C97" i="6"/>
  <c r="F97" i="6" s="1"/>
  <c r="G97" i="6" s="1"/>
  <c r="E96" i="6"/>
  <c r="C96" i="6"/>
  <c r="F96" i="6" s="1"/>
  <c r="E95" i="6"/>
  <c r="C95" i="6"/>
  <c r="F94" i="6"/>
  <c r="E94" i="6"/>
  <c r="D94" i="6"/>
  <c r="F93" i="6"/>
  <c r="E93" i="6"/>
  <c r="D93" i="6"/>
  <c r="B89" i="6"/>
  <c r="E87" i="6"/>
  <c r="F87" i="6"/>
  <c r="E86" i="6"/>
  <c r="F86" i="6"/>
  <c r="E85" i="6"/>
  <c r="F85" i="6"/>
  <c r="G85" i="6" s="1"/>
  <c r="E84" i="6"/>
  <c r="D84" i="6"/>
  <c r="F83" i="6"/>
  <c r="G83" i="6" s="1"/>
  <c r="E83" i="6"/>
  <c r="D83" i="6"/>
  <c r="E82" i="6"/>
  <c r="F82" i="6"/>
  <c r="G82" i="6" s="1"/>
  <c r="E81" i="6"/>
  <c r="D81" i="6"/>
  <c r="F81" i="6"/>
  <c r="G81" i="6" s="1"/>
  <c r="E80" i="6"/>
  <c r="F80" i="6"/>
  <c r="G80" i="6" s="1"/>
  <c r="E79" i="6"/>
  <c r="F78" i="6"/>
  <c r="G78" i="6" s="1"/>
  <c r="E78" i="6"/>
  <c r="D78" i="6"/>
  <c r="F77" i="6"/>
  <c r="E77" i="6"/>
  <c r="D77" i="6"/>
  <c r="B73" i="6"/>
  <c r="E71" i="6"/>
  <c r="F71" i="6"/>
  <c r="G71" i="6" s="1"/>
  <c r="E70" i="6"/>
  <c r="F70" i="6"/>
  <c r="E69" i="6"/>
  <c r="F69" i="6"/>
  <c r="E68" i="6"/>
  <c r="D68" i="6"/>
  <c r="E67" i="6"/>
  <c r="D67" i="6"/>
  <c r="E66" i="6"/>
  <c r="D66" i="6"/>
  <c r="E65" i="6"/>
  <c r="F65" i="6"/>
  <c r="G65" i="6" s="1"/>
  <c r="E64" i="6"/>
  <c r="F64" i="6"/>
  <c r="G64" i="6" s="1"/>
  <c r="E63" i="6"/>
  <c r="F62" i="6"/>
  <c r="G62" i="6" s="1"/>
  <c r="E62" i="6"/>
  <c r="D62" i="6"/>
  <c r="F61" i="6"/>
  <c r="E61" i="6"/>
  <c r="D61" i="6"/>
  <c r="B57" i="6"/>
  <c r="E55" i="6"/>
  <c r="F55" i="6"/>
  <c r="G55" i="6" s="1"/>
  <c r="E54" i="6"/>
  <c r="F54" i="6"/>
  <c r="G54" i="6" s="1"/>
  <c r="E53" i="6"/>
  <c r="F53" i="6"/>
  <c r="E52" i="6"/>
  <c r="D52" i="6"/>
  <c r="E51" i="6"/>
  <c r="D51" i="6"/>
  <c r="E50" i="6"/>
  <c r="D50" i="6"/>
  <c r="E49" i="6"/>
  <c r="F49" i="6"/>
  <c r="E48" i="6"/>
  <c r="F48" i="6"/>
  <c r="E47" i="6"/>
  <c r="D47" i="6"/>
  <c r="F46" i="6"/>
  <c r="E46" i="6"/>
  <c r="D46" i="6"/>
  <c r="F45" i="6"/>
  <c r="E45" i="6"/>
  <c r="D45" i="6"/>
  <c r="B39" i="6"/>
  <c r="E37" i="6"/>
  <c r="E36" i="6"/>
  <c r="E35" i="6"/>
  <c r="E34" i="6"/>
  <c r="F33" i="6"/>
  <c r="E33" i="6"/>
  <c r="D33" i="6"/>
  <c r="B137" i="5"/>
  <c r="E135" i="5"/>
  <c r="C135" i="5"/>
  <c r="F135" i="5" s="1"/>
  <c r="E134" i="5"/>
  <c r="C134" i="5"/>
  <c r="F134" i="5" s="1"/>
  <c r="G134" i="5" s="1"/>
  <c r="E133" i="5"/>
  <c r="C133" i="5"/>
  <c r="F133" i="5" s="1"/>
  <c r="E132" i="5"/>
  <c r="C132" i="5"/>
  <c r="D132" i="5" s="1"/>
  <c r="E131" i="5"/>
  <c r="C131" i="5"/>
  <c r="F131" i="5" s="1"/>
  <c r="E130" i="5"/>
  <c r="C130" i="5"/>
  <c r="F130" i="5" s="1"/>
  <c r="E129" i="5"/>
  <c r="C129" i="5"/>
  <c r="F129" i="5" s="1"/>
  <c r="E128" i="5"/>
  <c r="C128" i="5"/>
  <c r="F128" i="5" s="1"/>
  <c r="G128" i="5" s="1"/>
  <c r="E127" i="5"/>
  <c r="C127" i="5"/>
  <c r="F126" i="5"/>
  <c r="E126" i="5"/>
  <c r="D126" i="5"/>
  <c r="F125" i="5"/>
  <c r="E125" i="5"/>
  <c r="D125" i="5"/>
  <c r="B121" i="5"/>
  <c r="E119" i="5"/>
  <c r="C119" i="5"/>
  <c r="D119" i="5" s="1"/>
  <c r="E118" i="5"/>
  <c r="C118" i="5"/>
  <c r="F118" i="5" s="1"/>
  <c r="G118" i="5" s="1"/>
  <c r="E117" i="5"/>
  <c r="C117" i="5"/>
  <c r="F117" i="5" s="1"/>
  <c r="G117" i="5" s="1"/>
  <c r="E116" i="5"/>
  <c r="C116" i="5"/>
  <c r="D116" i="5" s="1"/>
  <c r="E115" i="5"/>
  <c r="C115" i="5"/>
  <c r="F115" i="5" s="1"/>
  <c r="G115" i="5" s="1"/>
  <c r="E114" i="5"/>
  <c r="C114" i="5"/>
  <c r="D114" i="5" s="1"/>
  <c r="E113" i="5"/>
  <c r="C113" i="5"/>
  <c r="F113" i="5" s="1"/>
  <c r="E112" i="5"/>
  <c r="C112" i="5"/>
  <c r="E111" i="5"/>
  <c r="C111" i="5"/>
  <c r="D111" i="5" s="1"/>
  <c r="F110" i="5"/>
  <c r="E110" i="5"/>
  <c r="D110" i="5"/>
  <c r="F109" i="5"/>
  <c r="E109" i="5"/>
  <c r="D109" i="5"/>
  <c r="B105" i="5"/>
  <c r="E103" i="5"/>
  <c r="C103" i="5"/>
  <c r="D103" i="5" s="1"/>
  <c r="E102" i="5"/>
  <c r="C102" i="5"/>
  <c r="F102" i="5" s="1"/>
  <c r="E101" i="5"/>
  <c r="C101" i="5"/>
  <c r="F101" i="5" s="1"/>
  <c r="E100" i="5"/>
  <c r="C100" i="5"/>
  <c r="D100" i="5" s="1"/>
  <c r="E99" i="5"/>
  <c r="C99" i="5"/>
  <c r="F99" i="5" s="1"/>
  <c r="E98" i="5"/>
  <c r="C98" i="5"/>
  <c r="F98" i="5" s="1"/>
  <c r="E97" i="5"/>
  <c r="C97" i="5"/>
  <c r="F97" i="5" s="1"/>
  <c r="E96" i="5"/>
  <c r="C96" i="5"/>
  <c r="E95" i="5"/>
  <c r="C95" i="5"/>
  <c r="F95" i="5" s="1"/>
  <c r="F94" i="5"/>
  <c r="E94" i="5"/>
  <c r="D94" i="5"/>
  <c r="F93" i="5"/>
  <c r="E93" i="5"/>
  <c r="D93" i="5"/>
  <c r="B89" i="5"/>
  <c r="E87" i="5"/>
  <c r="D87" i="5"/>
  <c r="E86" i="5"/>
  <c r="F86" i="5"/>
  <c r="G86" i="5" s="1"/>
  <c r="E85" i="5"/>
  <c r="F85" i="5"/>
  <c r="G85" i="5" s="1"/>
  <c r="E84" i="5"/>
  <c r="D84" i="5"/>
  <c r="E83" i="5"/>
  <c r="F83" i="5"/>
  <c r="G83" i="5" s="1"/>
  <c r="E82" i="5"/>
  <c r="F82" i="5"/>
  <c r="E81" i="5"/>
  <c r="F81" i="5"/>
  <c r="E80" i="5"/>
  <c r="E79" i="5"/>
  <c r="F79" i="5"/>
  <c r="G79" i="5" s="1"/>
  <c r="F78" i="5"/>
  <c r="E78" i="5"/>
  <c r="D78" i="5"/>
  <c r="F77" i="5"/>
  <c r="E77" i="5"/>
  <c r="D77" i="5"/>
  <c r="B73" i="5"/>
  <c r="E71" i="5"/>
  <c r="D71" i="5"/>
  <c r="E70" i="5"/>
  <c r="F70" i="5"/>
  <c r="G70" i="5" s="1"/>
  <c r="E69" i="5"/>
  <c r="F69" i="5"/>
  <c r="E68" i="5"/>
  <c r="D68" i="5"/>
  <c r="E67" i="5"/>
  <c r="F67" i="5"/>
  <c r="G67" i="5" s="1"/>
  <c r="E66" i="5"/>
  <c r="F66" i="5"/>
  <c r="E65" i="5"/>
  <c r="F65" i="5"/>
  <c r="E64" i="5"/>
  <c r="E63" i="5"/>
  <c r="F63" i="5"/>
  <c r="G63" i="5" s="1"/>
  <c r="F62" i="5"/>
  <c r="E62" i="5"/>
  <c r="D62" i="5"/>
  <c r="F61" i="5"/>
  <c r="E61" i="5"/>
  <c r="D61" i="5"/>
  <c r="B57" i="5"/>
  <c r="E55" i="5"/>
  <c r="D55" i="5"/>
  <c r="E54" i="5"/>
  <c r="D54" i="5"/>
  <c r="E53" i="5"/>
  <c r="F53" i="5"/>
  <c r="E52" i="5"/>
  <c r="F52" i="5"/>
  <c r="E51" i="5"/>
  <c r="F51" i="5"/>
  <c r="G51" i="5" s="1"/>
  <c r="E50" i="5"/>
  <c r="F50" i="5"/>
  <c r="E49" i="5"/>
  <c r="F49" i="5"/>
  <c r="E48" i="5"/>
  <c r="E47" i="5"/>
  <c r="D47" i="5"/>
  <c r="F46" i="5"/>
  <c r="E46" i="5"/>
  <c r="D46" i="5"/>
  <c r="F45" i="5"/>
  <c r="E45" i="5"/>
  <c r="D45" i="5"/>
  <c r="B39" i="5"/>
  <c r="E37" i="5"/>
  <c r="E36" i="5"/>
  <c r="E35" i="5"/>
  <c r="E34" i="5"/>
  <c r="F33" i="5"/>
  <c r="E33" i="5"/>
  <c r="E39" i="5" s="1"/>
  <c r="D33" i="5"/>
  <c r="B137" i="4"/>
  <c r="E135" i="4"/>
  <c r="C135" i="4"/>
  <c r="F135" i="4" s="1"/>
  <c r="G135" i="4" s="1"/>
  <c r="E134" i="4"/>
  <c r="C134" i="4"/>
  <c r="F134" i="4" s="1"/>
  <c r="G134" i="4" s="1"/>
  <c r="E133" i="4"/>
  <c r="C133" i="4"/>
  <c r="F133" i="4" s="1"/>
  <c r="E132" i="4"/>
  <c r="C132" i="4"/>
  <c r="D132" i="4" s="1"/>
  <c r="E131" i="4"/>
  <c r="C131" i="4"/>
  <c r="D131" i="4" s="1"/>
  <c r="E130" i="4"/>
  <c r="C130" i="4"/>
  <c r="D130" i="4" s="1"/>
  <c r="E129" i="4"/>
  <c r="C129" i="4"/>
  <c r="F129" i="4" s="1"/>
  <c r="E128" i="4"/>
  <c r="C128" i="4"/>
  <c r="F128" i="4" s="1"/>
  <c r="F127" i="4"/>
  <c r="E127" i="4"/>
  <c r="D127" i="4"/>
  <c r="F126" i="4"/>
  <c r="E126" i="4"/>
  <c r="G126" i="4" s="1"/>
  <c r="D126" i="4"/>
  <c r="F125" i="4"/>
  <c r="E125" i="4"/>
  <c r="D125" i="4"/>
  <c r="B121" i="4"/>
  <c r="E119" i="4"/>
  <c r="C119" i="4"/>
  <c r="F119" i="4" s="1"/>
  <c r="G119" i="4" s="1"/>
  <c r="E118" i="4"/>
  <c r="C118" i="4"/>
  <c r="F118" i="4" s="1"/>
  <c r="G118" i="4" s="1"/>
  <c r="E117" i="4"/>
  <c r="C117" i="4"/>
  <c r="F117" i="4" s="1"/>
  <c r="G117" i="4" s="1"/>
  <c r="E116" i="4"/>
  <c r="C116" i="4"/>
  <c r="D116" i="4" s="1"/>
  <c r="E115" i="4"/>
  <c r="C115" i="4"/>
  <c r="D115" i="4" s="1"/>
  <c r="E114" i="4"/>
  <c r="C114" i="4"/>
  <c r="D114" i="4" s="1"/>
  <c r="E113" i="4"/>
  <c r="C113" i="4"/>
  <c r="F113" i="4" s="1"/>
  <c r="E112" i="4"/>
  <c r="C112" i="4"/>
  <c r="F112" i="4" s="1"/>
  <c r="E111" i="4"/>
  <c r="C111" i="4"/>
  <c r="D111" i="4" s="1"/>
  <c r="F110" i="4"/>
  <c r="G110" i="4" s="1"/>
  <c r="E110" i="4"/>
  <c r="D110" i="4"/>
  <c r="F109" i="4"/>
  <c r="E109" i="4"/>
  <c r="D109" i="4"/>
  <c r="B105" i="4"/>
  <c r="E103" i="4"/>
  <c r="C103" i="4"/>
  <c r="F103" i="4" s="1"/>
  <c r="E102" i="4"/>
  <c r="C102" i="4"/>
  <c r="F102" i="4" s="1"/>
  <c r="E101" i="4"/>
  <c r="C101" i="4"/>
  <c r="F101" i="4" s="1"/>
  <c r="E100" i="4"/>
  <c r="C100" i="4"/>
  <c r="D100" i="4" s="1"/>
  <c r="E99" i="4"/>
  <c r="C99" i="4"/>
  <c r="D99" i="4" s="1"/>
  <c r="E98" i="4"/>
  <c r="C98" i="4"/>
  <c r="F98" i="4" s="1"/>
  <c r="E97" i="4"/>
  <c r="C97" i="4"/>
  <c r="F97" i="4" s="1"/>
  <c r="E96" i="4"/>
  <c r="C96" i="4"/>
  <c r="F96" i="4" s="1"/>
  <c r="E95" i="4"/>
  <c r="C95" i="4"/>
  <c r="F94" i="4"/>
  <c r="E94" i="4"/>
  <c r="D94" i="4"/>
  <c r="F93" i="4"/>
  <c r="E93" i="4"/>
  <c r="D93" i="4"/>
  <c r="B89" i="4"/>
  <c r="E87" i="4"/>
  <c r="F87" i="4"/>
  <c r="G87" i="4" s="1"/>
  <c r="E86" i="4"/>
  <c r="F86" i="4"/>
  <c r="G86" i="4" s="1"/>
  <c r="E85" i="4"/>
  <c r="F85" i="4"/>
  <c r="G85" i="4" s="1"/>
  <c r="E84" i="4"/>
  <c r="D84" i="4"/>
  <c r="F83" i="4"/>
  <c r="G83" i="4" s="1"/>
  <c r="E83" i="4"/>
  <c r="D83" i="4"/>
  <c r="E82" i="4"/>
  <c r="F82" i="4"/>
  <c r="E81" i="4"/>
  <c r="D81" i="4"/>
  <c r="F81" i="4"/>
  <c r="E80" i="4"/>
  <c r="F79" i="4"/>
  <c r="E79" i="4"/>
  <c r="D79" i="4"/>
  <c r="F78" i="4"/>
  <c r="G78" i="4" s="1"/>
  <c r="E78" i="4"/>
  <c r="D78" i="4"/>
  <c r="F77" i="4"/>
  <c r="E77" i="4"/>
  <c r="E89" i="4" s="1"/>
  <c r="D77" i="4"/>
  <c r="B73" i="4"/>
  <c r="E71" i="4"/>
  <c r="F71" i="4"/>
  <c r="G71" i="4" s="1"/>
  <c r="E70" i="4"/>
  <c r="F70" i="4"/>
  <c r="E69" i="4"/>
  <c r="F69" i="4"/>
  <c r="F68" i="4"/>
  <c r="E68" i="4"/>
  <c r="D68" i="4"/>
  <c r="E67" i="4"/>
  <c r="D67" i="4"/>
  <c r="E66" i="4"/>
  <c r="F66" i="4"/>
  <c r="E65" i="4"/>
  <c r="D65" i="4"/>
  <c r="F65" i="4"/>
  <c r="E64" i="4"/>
  <c r="E63" i="4"/>
  <c r="D63" i="4"/>
  <c r="F62" i="4"/>
  <c r="G62" i="4" s="1"/>
  <c r="E62" i="4"/>
  <c r="D62" i="4"/>
  <c r="F61" i="4"/>
  <c r="E61" i="4"/>
  <c r="D61" i="4"/>
  <c r="B57" i="4"/>
  <c r="E55" i="4"/>
  <c r="F55" i="4"/>
  <c r="G55" i="4" s="1"/>
  <c r="E54" i="4"/>
  <c r="F54" i="4"/>
  <c r="E53" i="4"/>
  <c r="F53" i="4"/>
  <c r="E52" i="4"/>
  <c r="D52" i="4"/>
  <c r="E51" i="4"/>
  <c r="D51" i="4"/>
  <c r="E50" i="4"/>
  <c r="F50" i="4"/>
  <c r="E49" i="4"/>
  <c r="F49" i="4"/>
  <c r="E48" i="4"/>
  <c r="E47" i="4"/>
  <c r="D47" i="4"/>
  <c r="F46" i="4"/>
  <c r="E46" i="4"/>
  <c r="D46" i="4"/>
  <c r="F45" i="4"/>
  <c r="E45" i="4"/>
  <c r="D45" i="4"/>
  <c r="B39" i="4"/>
  <c r="E37" i="4"/>
  <c r="E36" i="4"/>
  <c r="E35" i="4"/>
  <c r="E34" i="4"/>
  <c r="F33" i="4"/>
  <c r="E33" i="4"/>
  <c r="E39" i="4" s="1"/>
  <c r="D33" i="4"/>
  <c r="B137" i="3"/>
  <c r="E135" i="3"/>
  <c r="C135" i="3"/>
  <c r="F135" i="3" s="1"/>
  <c r="E134" i="3"/>
  <c r="C134" i="3"/>
  <c r="F134" i="3" s="1"/>
  <c r="E133" i="3"/>
  <c r="C133" i="3"/>
  <c r="F133" i="3" s="1"/>
  <c r="E132" i="3"/>
  <c r="C132" i="3"/>
  <c r="D132" i="3" s="1"/>
  <c r="E131" i="3"/>
  <c r="C131" i="3"/>
  <c r="D131" i="3" s="1"/>
  <c r="E130" i="3"/>
  <c r="C130" i="3"/>
  <c r="F130" i="3" s="1"/>
  <c r="E129" i="3"/>
  <c r="C129" i="3"/>
  <c r="F129" i="3" s="1"/>
  <c r="E128" i="3"/>
  <c r="C128" i="3"/>
  <c r="F128" i="3" s="1"/>
  <c r="E127" i="3"/>
  <c r="C127" i="3"/>
  <c r="F126" i="3"/>
  <c r="E126" i="3"/>
  <c r="D126" i="3"/>
  <c r="F125" i="3"/>
  <c r="E125" i="3"/>
  <c r="D125" i="3"/>
  <c r="B121" i="3"/>
  <c r="E119" i="3"/>
  <c r="C119" i="3"/>
  <c r="F119" i="3" s="1"/>
  <c r="E118" i="3"/>
  <c r="C118" i="3"/>
  <c r="F118" i="3" s="1"/>
  <c r="G118" i="3" s="1"/>
  <c r="E117" i="3"/>
  <c r="C117" i="3"/>
  <c r="F117" i="3" s="1"/>
  <c r="G117" i="3" s="1"/>
  <c r="E116" i="3"/>
  <c r="C116" i="3"/>
  <c r="D116" i="3" s="1"/>
  <c r="E115" i="3"/>
  <c r="C115" i="3"/>
  <c r="D115" i="3" s="1"/>
  <c r="E114" i="3"/>
  <c r="C114" i="3"/>
  <c r="D114" i="3" s="1"/>
  <c r="E113" i="3"/>
  <c r="C113" i="3"/>
  <c r="F113" i="3" s="1"/>
  <c r="G113" i="3" s="1"/>
  <c r="E112" i="3"/>
  <c r="C112" i="3"/>
  <c r="F112" i="3" s="1"/>
  <c r="E111" i="3"/>
  <c r="C111" i="3"/>
  <c r="F110" i="3"/>
  <c r="E110" i="3"/>
  <c r="D110" i="3"/>
  <c r="F109" i="3"/>
  <c r="E109" i="3"/>
  <c r="D109" i="3"/>
  <c r="B105" i="3"/>
  <c r="E103" i="3"/>
  <c r="C103" i="3"/>
  <c r="F103" i="3" s="1"/>
  <c r="E102" i="3"/>
  <c r="C102" i="3"/>
  <c r="F102" i="3" s="1"/>
  <c r="E101" i="3"/>
  <c r="C101" i="3"/>
  <c r="F101" i="3" s="1"/>
  <c r="E100" i="3"/>
  <c r="C100" i="3"/>
  <c r="D100" i="3" s="1"/>
  <c r="E99" i="3"/>
  <c r="C99" i="3"/>
  <c r="D99" i="3" s="1"/>
  <c r="E98" i="3"/>
  <c r="C98" i="3"/>
  <c r="D98" i="3" s="1"/>
  <c r="E97" i="3"/>
  <c r="C97" i="3"/>
  <c r="F97" i="3" s="1"/>
  <c r="E96" i="3"/>
  <c r="C96" i="3"/>
  <c r="F96" i="3" s="1"/>
  <c r="E95" i="3"/>
  <c r="C95" i="3"/>
  <c r="F95" i="3" s="1"/>
  <c r="F94" i="3"/>
  <c r="E94" i="3"/>
  <c r="D94" i="3"/>
  <c r="F93" i="3"/>
  <c r="E93" i="3"/>
  <c r="D93" i="3"/>
  <c r="B89" i="3"/>
  <c r="E87" i="3"/>
  <c r="F87" i="3"/>
  <c r="E86" i="3"/>
  <c r="F86" i="3"/>
  <c r="G86" i="3" s="1"/>
  <c r="E85" i="3"/>
  <c r="F85" i="3"/>
  <c r="F84" i="3"/>
  <c r="G84" i="3" s="1"/>
  <c r="E84" i="3"/>
  <c r="D84" i="3"/>
  <c r="E83" i="3"/>
  <c r="D83" i="3"/>
  <c r="E82" i="3"/>
  <c r="F82" i="3"/>
  <c r="G82" i="3" s="1"/>
  <c r="E81" i="3"/>
  <c r="F81" i="3"/>
  <c r="E80" i="3"/>
  <c r="F80" i="3"/>
  <c r="E79" i="3"/>
  <c r="F78" i="3"/>
  <c r="G78" i="3" s="1"/>
  <c r="E78" i="3"/>
  <c r="D78" i="3"/>
  <c r="F77" i="3"/>
  <c r="E77" i="3"/>
  <c r="D77" i="3"/>
  <c r="B73" i="3"/>
  <c r="E71" i="3"/>
  <c r="F71" i="3"/>
  <c r="G71" i="3" s="1"/>
  <c r="E70" i="3"/>
  <c r="F70" i="3"/>
  <c r="E69" i="3"/>
  <c r="F69" i="3"/>
  <c r="G69" i="3" s="1"/>
  <c r="E68" i="3"/>
  <c r="D68" i="3"/>
  <c r="E67" i="3"/>
  <c r="D67" i="3"/>
  <c r="E66" i="3"/>
  <c r="F66" i="3"/>
  <c r="G66" i="3" s="1"/>
  <c r="E65" i="3"/>
  <c r="F65" i="3"/>
  <c r="E64" i="3"/>
  <c r="F64" i="3"/>
  <c r="F63" i="3"/>
  <c r="E63" i="3"/>
  <c r="D63" i="3"/>
  <c r="F62" i="3"/>
  <c r="E62" i="3"/>
  <c r="D62" i="3"/>
  <c r="F61" i="3"/>
  <c r="E61" i="3"/>
  <c r="D61" i="3"/>
  <c r="B57" i="3"/>
  <c r="E55" i="3"/>
  <c r="F55" i="3"/>
  <c r="E54" i="3"/>
  <c r="F54" i="3"/>
  <c r="E53" i="3"/>
  <c r="F53" i="3"/>
  <c r="G53" i="3" s="1"/>
  <c r="E52" i="3"/>
  <c r="D52" i="3"/>
  <c r="E51" i="3"/>
  <c r="D51" i="3"/>
  <c r="E50" i="3"/>
  <c r="D50" i="3"/>
  <c r="E49" i="3"/>
  <c r="D49" i="3"/>
  <c r="E48" i="3"/>
  <c r="E47" i="3"/>
  <c r="F47" i="3"/>
  <c r="F46" i="3"/>
  <c r="E46" i="3"/>
  <c r="D46" i="3"/>
  <c r="F45" i="3"/>
  <c r="E45" i="3"/>
  <c r="D45" i="3"/>
  <c r="B39" i="3"/>
  <c r="E37" i="3"/>
  <c r="E36" i="3"/>
  <c r="E35" i="3"/>
  <c r="E34" i="3"/>
  <c r="F33" i="3"/>
  <c r="E33" i="3"/>
  <c r="D33" i="3"/>
  <c r="C111" i="2"/>
  <c r="C128" i="2"/>
  <c r="D128" i="2" s="1"/>
  <c r="C129" i="2"/>
  <c r="D129" i="2" s="1"/>
  <c r="C130" i="2"/>
  <c r="F130" i="2" s="1"/>
  <c r="G130" i="2" s="1"/>
  <c r="C131" i="2"/>
  <c r="F131" i="2" s="1"/>
  <c r="C132" i="2"/>
  <c r="D132" i="2" s="1"/>
  <c r="C133" i="2"/>
  <c r="D133" i="2" s="1"/>
  <c r="C134" i="2"/>
  <c r="F134" i="2" s="1"/>
  <c r="C135" i="2"/>
  <c r="D135" i="2" s="1"/>
  <c r="C127" i="2"/>
  <c r="F127" i="2" s="1"/>
  <c r="E127" i="2"/>
  <c r="C112" i="2"/>
  <c r="F112" i="2" s="1"/>
  <c r="G112" i="2" s="1"/>
  <c r="C113" i="2"/>
  <c r="F113" i="2" s="1"/>
  <c r="C114" i="2"/>
  <c r="D114" i="2" s="1"/>
  <c r="C115" i="2"/>
  <c r="F115" i="2" s="1"/>
  <c r="G115" i="2" s="1"/>
  <c r="C116" i="2"/>
  <c r="D116" i="2" s="1"/>
  <c r="C117" i="2"/>
  <c r="F117" i="2" s="1"/>
  <c r="G117" i="2" s="1"/>
  <c r="C118" i="2"/>
  <c r="D118" i="2" s="1"/>
  <c r="C119" i="2"/>
  <c r="F119" i="2" s="1"/>
  <c r="G119" i="2" s="1"/>
  <c r="C96" i="2"/>
  <c r="D96" i="2" s="1"/>
  <c r="C97" i="2"/>
  <c r="F97" i="2" s="1"/>
  <c r="C98" i="2"/>
  <c r="F98" i="2" s="1"/>
  <c r="C99" i="2"/>
  <c r="F99" i="2" s="1"/>
  <c r="C100" i="2"/>
  <c r="F100" i="2" s="1"/>
  <c r="C101" i="2"/>
  <c r="F101" i="2" s="1"/>
  <c r="C102" i="2"/>
  <c r="F102" i="2" s="1"/>
  <c r="C103" i="2"/>
  <c r="F103" i="2" s="1"/>
  <c r="C95" i="2"/>
  <c r="D95" i="2" s="1"/>
  <c r="D87" i="2"/>
  <c r="F86" i="2"/>
  <c r="G86" i="2" s="1"/>
  <c r="D85" i="2"/>
  <c r="D83" i="2"/>
  <c r="F82" i="2"/>
  <c r="F81" i="2"/>
  <c r="F80" i="2"/>
  <c r="G80" i="2" s="1"/>
  <c r="F63" i="2"/>
  <c r="D64" i="2"/>
  <c r="F65" i="2"/>
  <c r="G65" i="2" s="1"/>
  <c r="F66" i="2"/>
  <c r="G66" i="2" s="1"/>
  <c r="D67" i="2"/>
  <c r="F68" i="2"/>
  <c r="F70" i="2"/>
  <c r="D71" i="2"/>
  <c r="F47" i="2"/>
  <c r="F48" i="2"/>
  <c r="D49" i="2"/>
  <c r="D50" i="2"/>
  <c r="F51" i="2"/>
  <c r="F52" i="2"/>
  <c r="G52" i="2" s="1"/>
  <c r="F53" i="2"/>
  <c r="F54" i="2"/>
  <c r="D55" i="2"/>
  <c r="E39" i="2"/>
  <c r="B39" i="2"/>
  <c r="C37" i="4"/>
  <c r="F37" i="4" s="1"/>
  <c r="G37" i="4" s="1"/>
  <c r="E135" i="2"/>
  <c r="E134" i="2"/>
  <c r="E133" i="2"/>
  <c r="E132" i="2"/>
  <c r="E131" i="2"/>
  <c r="E130" i="2"/>
  <c r="E129" i="2"/>
  <c r="E128" i="2"/>
  <c r="F126" i="2"/>
  <c r="E126" i="2"/>
  <c r="G126" i="2" s="1"/>
  <c r="D126" i="2"/>
  <c r="F125" i="2"/>
  <c r="E125" i="2"/>
  <c r="D125" i="2"/>
  <c r="E119" i="2"/>
  <c r="E118" i="2"/>
  <c r="E117" i="2"/>
  <c r="E116" i="2"/>
  <c r="E115" i="2"/>
  <c r="E114" i="2"/>
  <c r="E113" i="2"/>
  <c r="E112" i="2"/>
  <c r="F110" i="2"/>
  <c r="G110" i="2" s="1"/>
  <c r="E110" i="2"/>
  <c r="D110" i="2"/>
  <c r="F109" i="2"/>
  <c r="E109" i="2"/>
  <c r="D109" i="2"/>
  <c r="E103" i="2"/>
  <c r="E102" i="2"/>
  <c r="E101" i="2"/>
  <c r="E100" i="2"/>
  <c r="E99" i="2"/>
  <c r="E98" i="2"/>
  <c r="E97" i="2"/>
  <c r="E96" i="2"/>
  <c r="E95" i="2"/>
  <c r="F94" i="2"/>
  <c r="E94" i="2"/>
  <c r="D94" i="2"/>
  <c r="F93" i="2"/>
  <c r="E93" i="2"/>
  <c r="D93" i="2"/>
  <c r="E87" i="2"/>
  <c r="E86" i="2"/>
  <c r="E85" i="2"/>
  <c r="F84" i="2"/>
  <c r="G84" i="2" s="1"/>
  <c r="E84" i="2"/>
  <c r="D84" i="2"/>
  <c r="F83" i="2"/>
  <c r="E83" i="2"/>
  <c r="E82" i="2"/>
  <c r="E81" i="2"/>
  <c r="E80" i="2"/>
  <c r="E79" i="2"/>
  <c r="F78" i="2"/>
  <c r="G78" i="2" s="1"/>
  <c r="E78" i="2"/>
  <c r="D78" i="2"/>
  <c r="F77" i="2"/>
  <c r="G77" i="2" s="1"/>
  <c r="E77" i="2"/>
  <c r="D77" i="2"/>
  <c r="D62" i="2"/>
  <c r="D61" i="2"/>
  <c r="E71" i="2"/>
  <c r="E70" i="2"/>
  <c r="F69" i="2"/>
  <c r="E69" i="2"/>
  <c r="D69" i="2"/>
  <c r="E68" i="2"/>
  <c r="E67" i="2"/>
  <c r="E66" i="2"/>
  <c r="E65" i="2"/>
  <c r="E64" i="2"/>
  <c r="E63" i="2"/>
  <c r="F62" i="2"/>
  <c r="E62" i="2"/>
  <c r="F61" i="2"/>
  <c r="E61" i="2"/>
  <c r="E55" i="2"/>
  <c r="E54" i="2"/>
  <c r="E53" i="2"/>
  <c r="E51" i="2"/>
  <c r="E50" i="2"/>
  <c r="E49" i="2"/>
  <c r="E48" i="2"/>
  <c r="E47" i="2"/>
  <c r="F46" i="2"/>
  <c r="E46" i="2"/>
  <c r="D46" i="2"/>
  <c r="F45" i="2"/>
  <c r="E45" i="2"/>
  <c r="D45" i="2"/>
  <c r="E37" i="2"/>
  <c r="E36" i="2"/>
  <c r="E35" i="2"/>
  <c r="F33" i="2"/>
  <c r="E33" i="2"/>
  <c r="D33" i="2"/>
  <c r="B137" i="2"/>
  <c r="B121" i="2"/>
  <c r="B105" i="2"/>
  <c r="B89" i="2"/>
  <c r="B73" i="2"/>
  <c r="B57" i="2"/>
  <c r="G63" i="3" l="1"/>
  <c r="G70" i="3"/>
  <c r="G70" i="9"/>
  <c r="G71" i="9"/>
  <c r="G70" i="7"/>
  <c r="G67" i="7"/>
  <c r="G69" i="5"/>
  <c r="G68" i="4"/>
  <c r="G69" i="4"/>
  <c r="G65" i="4"/>
  <c r="G70" i="4"/>
  <c r="G69" i="2"/>
  <c r="G61" i="2"/>
  <c r="G70" i="2"/>
  <c r="G68" i="2"/>
  <c r="E73" i="2"/>
  <c r="G62" i="2"/>
  <c r="G46" i="3"/>
  <c r="G54" i="9"/>
  <c r="G53" i="5"/>
  <c r="G46" i="4"/>
  <c r="G53" i="4"/>
  <c r="G54" i="4"/>
  <c r="G103" i="2"/>
  <c r="G102" i="5"/>
  <c r="G98" i="8"/>
  <c r="G97" i="9"/>
  <c r="G101" i="3"/>
  <c r="G134" i="3"/>
  <c r="G135" i="3"/>
  <c r="G130" i="3"/>
  <c r="G134" i="9"/>
  <c r="G129" i="5"/>
  <c r="G135" i="5"/>
  <c r="G94" i="4"/>
  <c r="G94" i="3"/>
  <c r="G94" i="8"/>
  <c r="G97" i="8"/>
  <c r="G103" i="8"/>
  <c r="G94" i="6"/>
  <c r="G95" i="5"/>
  <c r="G101" i="4"/>
  <c r="G96" i="4"/>
  <c r="G102" i="4"/>
  <c r="E105" i="2"/>
  <c r="G102" i="2"/>
  <c r="G94" i="2"/>
  <c r="G45" i="2"/>
  <c r="G54" i="2"/>
  <c r="G53" i="2"/>
  <c r="G51" i="2"/>
  <c r="G46" i="2"/>
  <c r="G48" i="2"/>
  <c r="G47" i="2"/>
  <c r="D69" i="11"/>
  <c r="J6" i="11" a="1"/>
  <c r="J6" i="11" s="1"/>
  <c r="C35" i="3"/>
  <c r="F35" i="3" s="1"/>
  <c r="G35" i="3" s="1"/>
  <c r="C36" i="3"/>
  <c r="F36" i="3" s="1"/>
  <c r="G36" i="3" s="1"/>
  <c r="C36" i="6"/>
  <c r="F36" i="6" s="1"/>
  <c r="G36" i="6" s="1"/>
  <c r="C36" i="8"/>
  <c r="F36" i="8" s="1"/>
  <c r="G36" i="8" s="1"/>
  <c r="C34" i="5"/>
  <c r="D34" i="5" s="1"/>
  <c r="C34" i="2"/>
  <c r="F34" i="2" s="1"/>
  <c r="G34" i="2" s="1"/>
  <c r="C37" i="2"/>
  <c r="F37" i="2" s="1"/>
  <c r="G37" i="2" s="1"/>
  <c r="C34" i="3"/>
  <c r="D34" i="3" s="1"/>
  <c r="C37" i="9"/>
  <c r="F37" i="9" s="1"/>
  <c r="G37" i="9" s="1"/>
  <c r="F132" i="2"/>
  <c r="G132" i="2" s="1"/>
  <c r="D128" i="3"/>
  <c r="D129" i="4"/>
  <c r="D129" i="3"/>
  <c r="D47" i="2"/>
  <c r="F131" i="6"/>
  <c r="G131" i="6" s="1"/>
  <c r="D73" i="11"/>
  <c r="D127" i="8"/>
  <c r="F130" i="7"/>
  <c r="G130" i="7" s="1"/>
  <c r="F131" i="8"/>
  <c r="G131" i="8" s="1"/>
  <c r="F118" i="2"/>
  <c r="G118" i="2" s="1"/>
  <c r="D130" i="5"/>
  <c r="C137" i="7"/>
  <c r="D130" i="9"/>
  <c r="F132" i="8"/>
  <c r="G132" i="8" s="1"/>
  <c r="D129" i="6"/>
  <c r="F132" i="4"/>
  <c r="G132" i="4" s="1"/>
  <c r="D129" i="8"/>
  <c r="C137" i="5"/>
  <c r="C137" i="9"/>
  <c r="F133" i="2"/>
  <c r="G133" i="2" s="1"/>
  <c r="F129" i="7"/>
  <c r="G129" i="7" s="1"/>
  <c r="D130" i="8"/>
  <c r="B117" i="11"/>
  <c r="A104" i="11"/>
  <c r="B93" i="11"/>
  <c r="B96" i="11"/>
  <c r="E96" i="11" s="1"/>
  <c r="O102" i="11" s="1"/>
  <c r="O103" i="11" s="1"/>
  <c r="L103" i="11" s="1"/>
  <c r="B89" i="11"/>
  <c r="B91" i="11"/>
  <c r="A76" i="11"/>
  <c r="C76" i="11" s="1"/>
  <c r="D76" i="11" s="1"/>
  <c r="C74" i="11"/>
  <c r="D74" i="11" s="1"/>
  <c r="A77" i="11"/>
  <c r="C75" i="11"/>
  <c r="D75" i="11" s="1"/>
  <c r="M14" i="11"/>
  <c r="A62" i="11"/>
  <c r="C61" i="11"/>
  <c r="D61" i="11" s="1"/>
  <c r="L69" i="11" s="1"/>
  <c r="L10" i="11"/>
  <c r="A90" i="11"/>
  <c r="A89" i="11"/>
  <c r="C89" i="11" s="1"/>
  <c r="A91" i="11"/>
  <c r="C88" i="11"/>
  <c r="D88" i="11" s="1"/>
  <c r="D113" i="2"/>
  <c r="D53" i="4"/>
  <c r="F111" i="2"/>
  <c r="G111" i="2" s="1"/>
  <c r="G131" i="9"/>
  <c r="G134" i="8"/>
  <c r="G135" i="7"/>
  <c r="G135" i="6"/>
  <c r="G126" i="6"/>
  <c r="G129" i="4"/>
  <c r="G127" i="4"/>
  <c r="G134" i="2"/>
  <c r="G131" i="2"/>
  <c r="G127" i="2"/>
  <c r="F49" i="2"/>
  <c r="G49" i="2" s="1"/>
  <c r="C121" i="9"/>
  <c r="F52" i="8"/>
  <c r="G52" i="8" s="1"/>
  <c r="F51" i="4"/>
  <c r="G51" i="4" s="1"/>
  <c r="D113" i="8"/>
  <c r="D114" i="9"/>
  <c r="D114" i="6"/>
  <c r="F132" i="3"/>
  <c r="G132" i="3" s="1"/>
  <c r="F132" i="5"/>
  <c r="G132" i="5" s="1"/>
  <c r="C34" i="7"/>
  <c r="D34" i="7" s="1"/>
  <c r="F132" i="7"/>
  <c r="G132" i="7" s="1"/>
  <c r="E73" i="9"/>
  <c r="G100" i="2"/>
  <c r="G83" i="2"/>
  <c r="G125" i="2"/>
  <c r="G99" i="2"/>
  <c r="G133" i="3"/>
  <c r="G50" i="4"/>
  <c r="E121" i="4"/>
  <c r="G113" i="4"/>
  <c r="F130" i="4"/>
  <c r="G130" i="4" s="1"/>
  <c r="C35" i="5"/>
  <c r="F35" i="5" s="1"/>
  <c r="G35" i="5" s="1"/>
  <c r="F114" i="5"/>
  <c r="G114" i="5" s="1"/>
  <c r="G133" i="5"/>
  <c r="G102" i="6"/>
  <c r="D130" i="6"/>
  <c r="G99" i="7"/>
  <c r="G81" i="8"/>
  <c r="G96" i="8"/>
  <c r="G102" i="8"/>
  <c r="C34" i="9"/>
  <c r="D34" i="9" s="1"/>
  <c r="G67" i="9"/>
  <c r="G83" i="9"/>
  <c r="G127" i="9"/>
  <c r="F111" i="4"/>
  <c r="G111" i="4" s="1"/>
  <c r="F127" i="7"/>
  <c r="G127" i="7" s="1"/>
  <c r="F114" i="2"/>
  <c r="G114" i="2" s="1"/>
  <c r="G98" i="2"/>
  <c r="C35" i="7"/>
  <c r="F35" i="7" s="1"/>
  <c r="G35" i="7" s="1"/>
  <c r="G112" i="8"/>
  <c r="F132" i="9"/>
  <c r="G132" i="9" s="1"/>
  <c r="E137" i="2"/>
  <c r="E121" i="2"/>
  <c r="F49" i="3"/>
  <c r="G49" i="3" s="1"/>
  <c r="F50" i="2"/>
  <c r="G50" i="2" s="1"/>
  <c r="D115" i="2"/>
  <c r="C36" i="2"/>
  <c r="F36" i="2" s="1"/>
  <c r="G36" i="2" s="1"/>
  <c r="G82" i="2"/>
  <c r="G97" i="2"/>
  <c r="G79" i="4"/>
  <c r="C36" i="5"/>
  <c r="F36" i="5" s="1"/>
  <c r="G36" i="5" s="1"/>
  <c r="C34" i="6"/>
  <c r="D34" i="6" s="1"/>
  <c r="C137" i="6"/>
  <c r="C34" i="8"/>
  <c r="D34" i="8" s="1"/>
  <c r="C137" i="8"/>
  <c r="C35" i="9"/>
  <c r="F35" i="9" s="1"/>
  <c r="G35" i="9" s="1"/>
  <c r="G81" i="2"/>
  <c r="E57" i="4"/>
  <c r="C35" i="2"/>
  <c r="F35" i="2" s="1"/>
  <c r="G35" i="2" s="1"/>
  <c r="G96" i="3"/>
  <c r="C34" i="4"/>
  <c r="D34" i="4" s="1"/>
  <c r="G66" i="4"/>
  <c r="G128" i="4"/>
  <c r="F131" i="4"/>
  <c r="G131" i="4" s="1"/>
  <c r="E89" i="6"/>
  <c r="D127" i="6"/>
  <c r="C36" i="7"/>
  <c r="F36" i="7" s="1"/>
  <c r="G36" i="7" s="1"/>
  <c r="G82" i="8"/>
  <c r="G47" i="9"/>
  <c r="G129" i="9"/>
  <c r="C137" i="3"/>
  <c r="E73" i="4"/>
  <c r="G81" i="4"/>
  <c r="E137" i="4"/>
  <c r="C37" i="5"/>
  <c r="D37" i="5" s="1"/>
  <c r="C35" i="6"/>
  <c r="F35" i="6" s="1"/>
  <c r="G35" i="6" s="1"/>
  <c r="C35" i="8"/>
  <c r="F35" i="8" s="1"/>
  <c r="G35" i="8" s="1"/>
  <c r="C36" i="9"/>
  <c r="F36" i="9" s="1"/>
  <c r="G36" i="9" s="1"/>
  <c r="F127" i="5"/>
  <c r="G127" i="5" s="1"/>
  <c r="D127" i="3"/>
  <c r="C35" i="4"/>
  <c r="F35" i="4" s="1"/>
  <c r="G35" i="4" s="1"/>
  <c r="G49" i="5"/>
  <c r="G65" i="5"/>
  <c r="G81" i="5"/>
  <c r="E105" i="6"/>
  <c r="F127" i="6"/>
  <c r="G127" i="6" s="1"/>
  <c r="C37" i="7"/>
  <c r="F37" i="7" s="1"/>
  <c r="G37" i="7" s="1"/>
  <c r="G63" i="7"/>
  <c r="G127" i="8"/>
  <c r="G79" i="9"/>
  <c r="G95" i="9"/>
  <c r="G101" i="9"/>
  <c r="E89" i="2"/>
  <c r="D113" i="3"/>
  <c r="F127" i="3"/>
  <c r="G127" i="3" s="1"/>
  <c r="C36" i="4"/>
  <c r="F36" i="4" s="1"/>
  <c r="G36" i="4" s="1"/>
  <c r="G82" i="4"/>
  <c r="G133" i="4"/>
  <c r="G50" i="5"/>
  <c r="G66" i="5"/>
  <c r="G113" i="5"/>
  <c r="D127" i="5"/>
  <c r="G131" i="5"/>
  <c r="F47" i="6"/>
  <c r="G47" i="6" s="1"/>
  <c r="G81" i="7"/>
  <c r="G112" i="7"/>
  <c r="D127" i="7"/>
  <c r="G131" i="7"/>
  <c r="G63" i="8"/>
  <c r="G49" i="9"/>
  <c r="G65" i="9"/>
  <c r="G102" i="9"/>
  <c r="D102" i="2"/>
  <c r="F131" i="3"/>
  <c r="G131" i="3" s="1"/>
  <c r="G97" i="4"/>
  <c r="G103" i="4"/>
  <c r="C37" i="6"/>
  <c r="D37" i="6" s="1"/>
  <c r="G48" i="6"/>
  <c r="F132" i="6"/>
  <c r="G132" i="6" s="1"/>
  <c r="C37" i="8"/>
  <c r="F37" i="8" s="1"/>
  <c r="G37" i="8" s="1"/>
  <c r="G81" i="9"/>
  <c r="G113" i="2"/>
  <c r="G101" i="2"/>
  <c r="C37" i="3"/>
  <c r="F37" i="3" s="1"/>
  <c r="G37" i="3" s="1"/>
  <c r="G49" i="4"/>
  <c r="E105" i="4"/>
  <c r="G98" i="4"/>
  <c r="G112" i="4"/>
  <c r="C137" i="4"/>
  <c r="G99" i="5"/>
  <c r="G101" i="6"/>
  <c r="G51" i="7"/>
  <c r="G65" i="8"/>
  <c r="G79" i="8"/>
  <c r="G101" i="8"/>
  <c r="G133" i="8"/>
  <c r="G82" i="9"/>
  <c r="D127" i="9"/>
  <c r="D65" i="6"/>
  <c r="D111" i="7"/>
  <c r="D47" i="3"/>
  <c r="D80" i="3"/>
  <c r="F47" i="4"/>
  <c r="G47" i="4" s="1"/>
  <c r="D113" i="4"/>
  <c r="C121" i="5"/>
  <c r="F116" i="5"/>
  <c r="G116" i="5" s="1"/>
  <c r="F116" i="7"/>
  <c r="G116" i="7" s="1"/>
  <c r="D66" i="8"/>
  <c r="F100" i="8"/>
  <c r="G100" i="8" s="1"/>
  <c r="F51" i="3"/>
  <c r="G51" i="3" s="1"/>
  <c r="F66" i="6"/>
  <c r="G66" i="6" s="1"/>
  <c r="F115" i="8"/>
  <c r="G115" i="8" s="1"/>
  <c r="F111" i="5"/>
  <c r="G111" i="5" s="1"/>
  <c r="F47" i="8"/>
  <c r="G47" i="8" s="1"/>
  <c r="F114" i="4"/>
  <c r="G114" i="4" s="1"/>
  <c r="D63" i="5"/>
  <c r="D82" i="6"/>
  <c r="C57" i="8"/>
  <c r="D112" i="3"/>
  <c r="F116" i="3"/>
  <c r="G116" i="3" s="1"/>
  <c r="C73" i="6"/>
  <c r="D114" i="7"/>
  <c r="D82" i="4"/>
  <c r="D79" i="5"/>
  <c r="F68" i="8"/>
  <c r="G68" i="8" s="1"/>
  <c r="D64" i="3"/>
  <c r="D66" i="4"/>
  <c r="F116" i="2"/>
  <c r="G116" i="2" s="1"/>
  <c r="F83" i="8"/>
  <c r="G83" i="8" s="1"/>
  <c r="D95" i="5"/>
  <c r="F100" i="5"/>
  <c r="G100" i="5" s="1"/>
  <c r="D97" i="8"/>
  <c r="F100" i="7"/>
  <c r="G100" i="7" s="1"/>
  <c r="F95" i="2"/>
  <c r="G95" i="2" s="1"/>
  <c r="D98" i="8"/>
  <c r="D102" i="7"/>
  <c r="D98" i="9"/>
  <c r="D52" i="5"/>
  <c r="D98" i="4"/>
  <c r="F116" i="6"/>
  <c r="G116" i="6" s="1"/>
  <c r="D82" i="7"/>
  <c r="F85" i="2"/>
  <c r="G85" i="2" s="1"/>
  <c r="D86" i="7"/>
  <c r="C89" i="8"/>
  <c r="C73" i="7"/>
  <c r="F68" i="7"/>
  <c r="G68" i="7" s="1"/>
  <c r="F84" i="8"/>
  <c r="G84" i="8" s="1"/>
  <c r="F116" i="8"/>
  <c r="G116" i="8" s="1"/>
  <c r="C105" i="9"/>
  <c r="D81" i="3"/>
  <c r="F99" i="3"/>
  <c r="G99" i="3" s="1"/>
  <c r="D50" i="4"/>
  <c r="C89" i="4"/>
  <c r="F115" i="4"/>
  <c r="G115" i="4" s="1"/>
  <c r="C57" i="5"/>
  <c r="D66" i="5"/>
  <c r="C89" i="5"/>
  <c r="F84" i="5"/>
  <c r="G84" i="5" s="1"/>
  <c r="D117" i="5"/>
  <c r="C57" i="6"/>
  <c r="F50" i="6"/>
  <c r="G50" i="6" s="1"/>
  <c r="F63" i="6"/>
  <c r="G63" i="6" s="1"/>
  <c r="F67" i="6"/>
  <c r="G67" i="6" s="1"/>
  <c r="F84" i="6"/>
  <c r="G84" i="6" s="1"/>
  <c r="D113" i="6"/>
  <c r="F50" i="7"/>
  <c r="G50" i="7" s="1"/>
  <c r="D63" i="8"/>
  <c r="D50" i="9"/>
  <c r="F63" i="9"/>
  <c r="G63" i="9" s="1"/>
  <c r="D82" i="9"/>
  <c r="D111" i="9"/>
  <c r="F47" i="5"/>
  <c r="G47" i="5" s="1"/>
  <c r="F63" i="4"/>
  <c r="G63" i="4" s="1"/>
  <c r="F67" i="4"/>
  <c r="G67" i="4" s="1"/>
  <c r="F84" i="4"/>
  <c r="G84" i="4" s="1"/>
  <c r="F67" i="8"/>
  <c r="F99" i="8"/>
  <c r="G99" i="8" s="1"/>
  <c r="C73" i="9"/>
  <c r="F68" i="9"/>
  <c r="G68" i="9" s="1"/>
  <c r="F67" i="3"/>
  <c r="G67" i="3" s="1"/>
  <c r="F87" i="2"/>
  <c r="G87" i="2" s="1"/>
  <c r="D66" i="2"/>
  <c r="F68" i="3"/>
  <c r="C105" i="6"/>
  <c r="D47" i="7"/>
  <c r="D79" i="7"/>
  <c r="D50" i="8"/>
  <c r="F111" i="9"/>
  <c r="G111" i="9" s="1"/>
  <c r="D119" i="2"/>
  <c r="C73" i="4"/>
  <c r="F116" i="4"/>
  <c r="G116" i="4" s="1"/>
  <c r="F51" i="6"/>
  <c r="G51" i="6" s="1"/>
  <c r="F68" i="6"/>
  <c r="G68" i="6" s="1"/>
  <c r="C73" i="8"/>
  <c r="F116" i="9"/>
  <c r="G116" i="9" s="1"/>
  <c r="C57" i="3"/>
  <c r="D65" i="3"/>
  <c r="C89" i="3"/>
  <c r="C121" i="3"/>
  <c r="C121" i="6"/>
  <c r="D66" i="7"/>
  <c r="D82" i="8"/>
  <c r="D114" i="8"/>
  <c r="D47" i="9"/>
  <c r="D79" i="9"/>
  <c r="D117" i="2"/>
  <c r="D48" i="3"/>
  <c r="D79" i="3"/>
  <c r="D111" i="3"/>
  <c r="F100" i="4"/>
  <c r="G100" i="4" s="1"/>
  <c r="D50" i="5"/>
  <c r="F54" i="5"/>
  <c r="G54" i="5" s="1"/>
  <c r="D82" i="5"/>
  <c r="C89" i="6"/>
  <c r="D111" i="6"/>
  <c r="C57" i="7"/>
  <c r="F52" i="7"/>
  <c r="G52" i="7" s="1"/>
  <c r="D63" i="6"/>
  <c r="D48" i="2"/>
  <c r="D68" i="2"/>
  <c r="F52" i="3"/>
  <c r="G52" i="3" s="1"/>
  <c r="F68" i="5"/>
  <c r="G68" i="5" s="1"/>
  <c r="C105" i="5"/>
  <c r="F52" i="6"/>
  <c r="G52" i="6" s="1"/>
  <c r="D79" i="6"/>
  <c r="C89" i="7"/>
  <c r="F84" i="7"/>
  <c r="G84" i="7" s="1"/>
  <c r="F51" i="8"/>
  <c r="G51" i="8" s="1"/>
  <c r="C121" i="8"/>
  <c r="F79" i="3"/>
  <c r="G79" i="3" s="1"/>
  <c r="F83" i="3"/>
  <c r="G83" i="3" s="1"/>
  <c r="F111" i="3"/>
  <c r="G111" i="3" s="1"/>
  <c r="F115" i="3"/>
  <c r="G115" i="3" s="1"/>
  <c r="C57" i="4"/>
  <c r="F52" i="4"/>
  <c r="G52" i="4" s="1"/>
  <c r="C73" i="5"/>
  <c r="D49" i="6"/>
  <c r="D97" i="6"/>
  <c r="F111" i="6"/>
  <c r="G111" i="6" s="1"/>
  <c r="D118" i="7"/>
  <c r="D111" i="8"/>
  <c r="C57" i="9"/>
  <c r="F52" i="9"/>
  <c r="G52" i="9" s="1"/>
  <c r="C89" i="9"/>
  <c r="F84" i="9"/>
  <c r="G84" i="9" s="1"/>
  <c r="C73" i="3"/>
  <c r="C121" i="4"/>
  <c r="F79" i="6"/>
  <c r="G79" i="6" s="1"/>
  <c r="F115" i="6"/>
  <c r="G115" i="6" s="1"/>
  <c r="D96" i="3"/>
  <c r="D101" i="5"/>
  <c r="F95" i="6"/>
  <c r="G95" i="6" s="1"/>
  <c r="C105" i="7"/>
  <c r="D99" i="2"/>
  <c r="D95" i="7"/>
  <c r="F100" i="3"/>
  <c r="G100" i="3" s="1"/>
  <c r="F99" i="6"/>
  <c r="G99" i="6" s="1"/>
  <c r="D100" i="2"/>
  <c r="D97" i="3"/>
  <c r="C105" i="4"/>
  <c r="D98" i="5"/>
  <c r="F96" i="2"/>
  <c r="G96" i="2" s="1"/>
  <c r="D95" i="4"/>
  <c r="G98" i="5"/>
  <c r="F100" i="6"/>
  <c r="G100" i="6" s="1"/>
  <c r="D101" i="2"/>
  <c r="F95" i="4"/>
  <c r="G95" i="4" s="1"/>
  <c r="F99" i="4"/>
  <c r="G99" i="4" s="1"/>
  <c r="D95" i="9"/>
  <c r="D97" i="4"/>
  <c r="F95" i="7"/>
  <c r="G95" i="7" s="1"/>
  <c r="C105" i="3"/>
  <c r="C105" i="8"/>
  <c r="D95" i="3"/>
  <c r="D98" i="6"/>
  <c r="D98" i="7"/>
  <c r="D95" i="8"/>
  <c r="F100" i="9"/>
  <c r="G100" i="9" s="1"/>
  <c r="D95" i="6"/>
  <c r="F95" i="8"/>
  <c r="G95" i="8" s="1"/>
  <c r="G126" i="3"/>
  <c r="G110" i="3"/>
  <c r="G54" i="3"/>
  <c r="G102" i="3"/>
  <c r="G62" i="3"/>
  <c r="G103" i="3"/>
  <c r="E137" i="3"/>
  <c r="E105" i="9"/>
  <c r="G114" i="9"/>
  <c r="E39" i="9"/>
  <c r="G62" i="9"/>
  <c r="E137" i="9"/>
  <c r="E57" i="9"/>
  <c r="G66" i="9"/>
  <c r="G98" i="9"/>
  <c r="G51" i="9"/>
  <c r="G69" i="9"/>
  <c r="G78" i="9"/>
  <c r="G110" i="9"/>
  <c r="G94" i="9"/>
  <c r="E89" i="9"/>
  <c r="G126" i="9"/>
  <c r="G46" i="9"/>
  <c r="E121" i="9"/>
  <c r="G113" i="9"/>
  <c r="G130" i="9"/>
  <c r="E89" i="8"/>
  <c r="G61" i="8"/>
  <c r="E105" i="8"/>
  <c r="G45" i="8"/>
  <c r="G130" i="8"/>
  <c r="E73" i="8"/>
  <c r="E121" i="8"/>
  <c r="E57" i="8"/>
  <c r="G67" i="8"/>
  <c r="E137" i="8"/>
  <c r="G66" i="8"/>
  <c r="G113" i="8"/>
  <c r="G117" i="8"/>
  <c r="G129" i="8"/>
  <c r="E39" i="7"/>
  <c r="G102" i="7"/>
  <c r="G111" i="7"/>
  <c r="E89" i="7"/>
  <c r="E57" i="7"/>
  <c r="G49" i="7"/>
  <c r="G66" i="7"/>
  <c r="E137" i="7"/>
  <c r="G133" i="7"/>
  <c r="G94" i="7"/>
  <c r="G98" i="7"/>
  <c r="G46" i="7"/>
  <c r="G126" i="7"/>
  <c r="G118" i="7"/>
  <c r="E121" i="7"/>
  <c r="E73" i="7"/>
  <c r="G65" i="7"/>
  <c r="G82" i="7"/>
  <c r="G96" i="7"/>
  <c r="G101" i="7"/>
  <c r="G71" i="7"/>
  <c r="E105" i="7"/>
  <c r="G97" i="7"/>
  <c r="G115" i="7"/>
  <c r="G128" i="7"/>
  <c r="E73" i="6"/>
  <c r="E121" i="6"/>
  <c r="G46" i="6"/>
  <c r="G96" i="6"/>
  <c r="G113" i="6"/>
  <c r="G134" i="6"/>
  <c r="G130" i="6"/>
  <c r="E39" i="6"/>
  <c r="G69" i="6"/>
  <c r="G86" i="6"/>
  <c r="G128" i="6"/>
  <c r="E57" i="6"/>
  <c r="G49" i="6"/>
  <c r="G98" i="6"/>
  <c r="G114" i="6"/>
  <c r="G53" i="6"/>
  <c r="G70" i="6"/>
  <c r="G87" i="6"/>
  <c r="E137" i="6"/>
  <c r="G129" i="6"/>
  <c r="G112" i="6"/>
  <c r="G133" i="6"/>
  <c r="E57" i="5"/>
  <c r="G62" i="5"/>
  <c r="G94" i="5"/>
  <c r="E137" i="5"/>
  <c r="E121" i="5"/>
  <c r="G126" i="5"/>
  <c r="G82" i="5"/>
  <c r="E89" i="5"/>
  <c r="G46" i="5"/>
  <c r="G78" i="5"/>
  <c r="G130" i="5"/>
  <c r="E73" i="5"/>
  <c r="G101" i="5"/>
  <c r="G52" i="5"/>
  <c r="E105" i="5"/>
  <c r="G97" i="5"/>
  <c r="G110" i="5"/>
  <c r="D64" i="9"/>
  <c r="D96" i="9"/>
  <c r="D71" i="9"/>
  <c r="D87" i="9"/>
  <c r="D119" i="9"/>
  <c r="D48" i="9"/>
  <c r="G45" i="9"/>
  <c r="D53" i="9"/>
  <c r="F55" i="9"/>
  <c r="G55" i="9" s="1"/>
  <c r="G61" i="9"/>
  <c r="D69" i="9"/>
  <c r="G77" i="9"/>
  <c r="D85" i="9"/>
  <c r="G93" i="9"/>
  <c r="D101" i="9"/>
  <c r="F103" i="9"/>
  <c r="G103" i="9" s="1"/>
  <c r="G109" i="9"/>
  <c r="D117" i="9"/>
  <c r="G125" i="9"/>
  <c r="D133" i="9"/>
  <c r="F135" i="9"/>
  <c r="G135" i="9" s="1"/>
  <c r="D80" i="9"/>
  <c r="F48" i="9"/>
  <c r="G48" i="9" s="1"/>
  <c r="F64" i="9"/>
  <c r="G64" i="9" s="1"/>
  <c r="F80" i="9"/>
  <c r="G80" i="9" s="1"/>
  <c r="F96" i="9"/>
  <c r="G96" i="9" s="1"/>
  <c r="F112" i="9"/>
  <c r="G112" i="9" s="1"/>
  <c r="F128" i="9"/>
  <c r="G128" i="9" s="1"/>
  <c r="D51" i="9"/>
  <c r="D67" i="9"/>
  <c r="D83" i="9"/>
  <c r="D99" i="9"/>
  <c r="D115" i="9"/>
  <c r="D131" i="9"/>
  <c r="D49" i="9"/>
  <c r="D65" i="9"/>
  <c r="D81" i="9"/>
  <c r="D97" i="9"/>
  <c r="D113" i="9"/>
  <c r="D129" i="9"/>
  <c r="G33" i="9"/>
  <c r="D54" i="9"/>
  <c r="D70" i="9"/>
  <c r="D86" i="9"/>
  <c r="D102" i="9"/>
  <c r="D118" i="9"/>
  <c r="D134" i="9"/>
  <c r="D55" i="8"/>
  <c r="D71" i="8"/>
  <c r="D87" i="8"/>
  <c r="D103" i="8"/>
  <c r="D119" i="8"/>
  <c r="D135" i="8"/>
  <c r="D48" i="8"/>
  <c r="D64" i="8"/>
  <c r="D80" i="8"/>
  <c r="D96" i="8"/>
  <c r="D112" i="8"/>
  <c r="D128" i="8"/>
  <c r="D53" i="8"/>
  <c r="D69" i="8"/>
  <c r="G77" i="8"/>
  <c r="D85" i="8"/>
  <c r="G93" i="8"/>
  <c r="D101" i="8"/>
  <c r="G109" i="8"/>
  <c r="D117" i="8"/>
  <c r="G125" i="8"/>
  <c r="D133" i="8"/>
  <c r="F48" i="8"/>
  <c r="G48" i="8" s="1"/>
  <c r="F64" i="8"/>
  <c r="G64" i="8" s="1"/>
  <c r="F80" i="8"/>
  <c r="G80" i="8" s="1"/>
  <c r="G46" i="8"/>
  <c r="D49" i="8"/>
  <c r="G62" i="8"/>
  <c r="G33" i="8"/>
  <c r="D54" i="8"/>
  <c r="D70" i="8"/>
  <c r="D86" i="8"/>
  <c r="D102" i="8"/>
  <c r="D118" i="8"/>
  <c r="D134" i="8"/>
  <c r="D55" i="7"/>
  <c r="D71" i="7"/>
  <c r="D87" i="7"/>
  <c r="D135" i="7"/>
  <c r="D48" i="7"/>
  <c r="D64" i="7"/>
  <c r="D80" i="7"/>
  <c r="D96" i="7"/>
  <c r="D112" i="7"/>
  <c r="D128" i="7"/>
  <c r="G45" i="7"/>
  <c r="D53" i="7"/>
  <c r="G61" i="7"/>
  <c r="D69" i="7"/>
  <c r="G77" i="7"/>
  <c r="D85" i="7"/>
  <c r="G93" i="7"/>
  <c r="D101" i="7"/>
  <c r="F103" i="7"/>
  <c r="G103" i="7" s="1"/>
  <c r="G109" i="7"/>
  <c r="D117" i="7"/>
  <c r="F119" i="7"/>
  <c r="G119" i="7" s="1"/>
  <c r="G125" i="7"/>
  <c r="D133" i="7"/>
  <c r="F48" i="7"/>
  <c r="G48" i="7" s="1"/>
  <c r="F64" i="7"/>
  <c r="G64" i="7" s="1"/>
  <c r="F80" i="7"/>
  <c r="G80" i="7" s="1"/>
  <c r="D51" i="7"/>
  <c r="D67" i="7"/>
  <c r="D83" i="7"/>
  <c r="D99" i="7"/>
  <c r="D115" i="7"/>
  <c r="D131" i="7"/>
  <c r="C121" i="7"/>
  <c r="D49" i="7"/>
  <c r="D65" i="7"/>
  <c r="D81" i="7"/>
  <c r="D97" i="7"/>
  <c r="D113" i="7"/>
  <c r="G33" i="7"/>
  <c r="D54" i="7"/>
  <c r="D70" i="7"/>
  <c r="D134" i="7"/>
  <c r="D71" i="6"/>
  <c r="D87" i="6"/>
  <c r="D103" i="6"/>
  <c r="D119" i="6"/>
  <c r="D135" i="6"/>
  <c r="D48" i="6"/>
  <c r="D64" i="6"/>
  <c r="D80" i="6"/>
  <c r="D96" i="6"/>
  <c r="D112" i="6"/>
  <c r="D128" i="6"/>
  <c r="D55" i="6"/>
  <c r="G45" i="6"/>
  <c r="D53" i="6"/>
  <c r="G61" i="6"/>
  <c r="D69" i="6"/>
  <c r="G77" i="6"/>
  <c r="D85" i="6"/>
  <c r="G93" i="6"/>
  <c r="D101" i="6"/>
  <c r="G109" i="6"/>
  <c r="D117" i="6"/>
  <c r="G125" i="6"/>
  <c r="D133" i="6"/>
  <c r="G33" i="6"/>
  <c r="D54" i="6"/>
  <c r="D70" i="6"/>
  <c r="D86" i="6"/>
  <c r="D102" i="6"/>
  <c r="D118" i="6"/>
  <c r="D134" i="6"/>
  <c r="D135" i="5"/>
  <c r="D48" i="5"/>
  <c r="D64" i="5"/>
  <c r="D80" i="5"/>
  <c r="D96" i="5"/>
  <c r="D112" i="5"/>
  <c r="D128" i="5"/>
  <c r="G45" i="5"/>
  <c r="D53" i="5"/>
  <c r="F55" i="5"/>
  <c r="G55" i="5" s="1"/>
  <c r="G61" i="5"/>
  <c r="D69" i="5"/>
  <c r="F71" i="5"/>
  <c r="G71" i="5" s="1"/>
  <c r="G77" i="5"/>
  <c r="D85" i="5"/>
  <c r="F87" i="5"/>
  <c r="G87" i="5" s="1"/>
  <c r="G93" i="5"/>
  <c r="F103" i="5"/>
  <c r="G103" i="5" s="1"/>
  <c r="G109" i="5"/>
  <c r="F119" i="5"/>
  <c r="G119" i="5" s="1"/>
  <c r="G125" i="5"/>
  <c r="D133" i="5"/>
  <c r="F48" i="5"/>
  <c r="G48" i="5" s="1"/>
  <c r="F64" i="5"/>
  <c r="G64" i="5" s="1"/>
  <c r="F80" i="5"/>
  <c r="G80" i="5" s="1"/>
  <c r="F96" i="5"/>
  <c r="G96" i="5" s="1"/>
  <c r="F112" i="5"/>
  <c r="G112" i="5" s="1"/>
  <c r="D51" i="5"/>
  <c r="D67" i="5"/>
  <c r="D83" i="5"/>
  <c r="D99" i="5"/>
  <c r="D115" i="5"/>
  <c r="D131" i="5"/>
  <c r="D49" i="5"/>
  <c r="D65" i="5"/>
  <c r="D81" i="5"/>
  <c r="D97" i="5"/>
  <c r="D113" i="5"/>
  <c r="D129" i="5"/>
  <c r="G33" i="5"/>
  <c r="D70" i="5"/>
  <c r="D86" i="5"/>
  <c r="D102" i="5"/>
  <c r="D118" i="5"/>
  <c r="D134" i="5"/>
  <c r="D37" i="4"/>
  <c r="D55" i="4"/>
  <c r="D71" i="4"/>
  <c r="D87" i="4"/>
  <c r="D103" i="4"/>
  <c r="D119" i="4"/>
  <c r="D135" i="4"/>
  <c r="D48" i="4"/>
  <c r="D64" i="4"/>
  <c r="D80" i="4"/>
  <c r="D96" i="4"/>
  <c r="D112" i="4"/>
  <c r="D128" i="4"/>
  <c r="G45" i="4"/>
  <c r="G61" i="4"/>
  <c r="D69" i="4"/>
  <c r="G77" i="4"/>
  <c r="D85" i="4"/>
  <c r="G93" i="4"/>
  <c r="D101" i="4"/>
  <c r="G109" i="4"/>
  <c r="D117" i="4"/>
  <c r="G125" i="4"/>
  <c r="D133" i="4"/>
  <c r="F48" i="4"/>
  <c r="G48" i="4" s="1"/>
  <c r="F64" i="4"/>
  <c r="G64" i="4" s="1"/>
  <c r="F80" i="4"/>
  <c r="G80" i="4" s="1"/>
  <c r="D49" i="4"/>
  <c r="G33" i="4"/>
  <c r="D54" i="4"/>
  <c r="D70" i="4"/>
  <c r="D86" i="4"/>
  <c r="D102" i="4"/>
  <c r="D118" i="4"/>
  <c r="D134" i="4"/>
  <c r="G81" i="3"/>
  <c r="E39" i="3"/>
  <c r="G87" i="3"/>
  <c r="G65" i="3"/>
  <c r="E89" i="3"/>
  <c r="G64" i="3"/>
  <c r="G85" i="3"/>
  <c r="G97" i="3"/>
  <c r="G47" i="3"/>
  <c r="E73" i="3"/>
  <c r="G128" i="3"/>
  <c r="E57" i="3"/>
  <c r="G95" i="3"/>
  <c r="E121" i="3"/>
  <c r="G112" i="3"/>
  <c r="G129" i="3"/>
  <c r="E105" i="3"/>
  <c r="G80" i="3"/>
  <c r="G55" i="3"/>
  <c r="G119" i="3"/>
  <c r="D130" i="3"/>
  <c r="D55" i="3"/>
  <c r="D71" i="3"/>
  <c r="D87" i="3"/>
  <c r="D103" i="3"/>
  <c r="D119" i="3"/>
  <c r="D135" i="3"/>
  <c r="F98" i="3"/>
  <c r="G98" i="3" s="1"/>
  <c r="F114" i="3"/>
  <c r="G114" i="3" s="1"/>
  <c r="D82" i="3"/>
  <c r="F50" i="3"/>
  <c r="G50" i="3" s="1"/>
  <c r="G45" i="3"/>
  <c r="D53" i="3"/>
  <c r="G61" i="3"/>
  <c r="D69" i="3"/>
  <c r="G77" i="3"/>
  <c r="D85" i="3"/>
  <c r="G93" i="3"/>
  <c r="D101" i="3"/>
  <c r="G109" i="3"/>
  <c r="D117" i="3"/>
  <c r="G125" i="3"/>
  <c r="D133" i="3"/>
  <c r="F48" i="3"/>
  <c r="G48" i="3" s="1"/>
  <c r="D66" i="3"/>
  <c r="G33" i="3"/>
  <c r="D54" i="3"/>
  <c r="D70" i="3"/>
  <c r="D86" i="3"/>
  <c r="D102" i="3"/>
  <c r="D118" i="3"/>
  <c r="D134" i="3"/>
  <c r="F135" i="2"/>
  <c r="G135" i="2" s="1"/>
  <c r="D134" i="2"/>
  <c r="D112" i="2"/>
  <c r="D86" i="2"/>
  <c r="C89" i="2"/>
  <c r="D51" i="2"/>
  <c r="F67" i="2"/>
  <c r="G67" i="2" s="1"/>
  <c r="C73" i="2"/>
  <c r="F64" i="2"/>
  <c r="G64" i="2" s="1"/>
  <c r="F79" i="2"/>
  <c r="G79" i="2" s="1"/>
  <c r="F71" i="2"/>
  <c r="G71" i="2" s="1"/>
  <c r="D80" i="2"/>
  <c r="D79" i="2"/>
  <c r="C105" i="2"/>
  <c r="D131" i="2"/>
  <c r="D130" i="2"/>
  <c r="C137" i="2"/>
  <c r="F129" i="2"/>
  <c r="G129" i="2" s="1"/>
  <c r="F128" i="2"/>
  <c r="G128" i="2" s="1"/>
  <c r="D127" i="2"/>
  <c r="C121" i="2"/>
  <c r="D111" i="2"/>
  <c r="D103" i="2"/>
  <c r="D97" i="2"/>
  <c r="D98" i="2"/>
  <c r="D81" i="2"/>
  <c r="D82" i="2"/>
  <c r="D70" i="2"/>
  <c r="D63" i="2"/>
  <c r="D65" i="2"/>
  <c r="D54" i="2"/>
  <c r="F55" i="2"/>
  <c r="G55" i="2" s="1"/>
  <c r="D52" i="2"/>
  <c r="C57" i="2"/>
  <c r="D53" i="2"/>
  <c r="G109" i="2"/>
  <c r="G93" i="2"/>
  <c r="G63" i="2"/>
  <c r="E57" i="2"/>
  <c r="G33" i="2"/>
  <c r="D22" i="11" l="1"/>
  <c r="D85" i="11"/>
  <c r="D36" i="3"/>
  <c r="D35" i="3"/>
  <c r="D36" i="6"/>
  <c r="F34" i="5"/>
  <c r="G34" i="5" s="1"/>
  <c r="D36" i="4"/>
  <c r="D57" i="2"/>
  <c r="D36" i="8"/>
  <c r="D34" i="2"/>
  <c r="D37" i="2"/>
  <c r="G39" i="2"/>
  <c r="H6" i="1" s="1"/>
  <c r="G31" i="1" s="1"/>
  <c r="F34" i="3"/>
  <c r="G34" i="3" s="1"/>
  <c r="G39" i="3" s="1"/>
  <c r="O6" i="1" s="1"/>
  <c r="N31" i="1" s="1"/>
  <c r="D37" i="9"/>
  <c r="F34" i="7"/>
  <c r="G34" i="7" s="1"/>
  <c r="H39" i="7" s="1"/>
  <c r="L19" i="1" s="1"/>
  <c r="C39" i="3"/>
  <c r="D37" i="3"/>
  <c r="D39" i="3" s="1"/>
  <c r="D36" i="5"/>
  <c r="D35" i="6"/>
  <c r="D39" i="6" s="1"/>
  <c r="F137" i="6"/>
  <c r="F137" i="8"/>
  <c r="D37" i="8"/>
  <c r="F137" i="5"/>
  <c r="F137" i="3"/>
  <c r="F34" i="6"/>
  <c r="G34" i="6" s="1"/>
  <c r="F137" i="4"/>
  <c r="F34" i="8"/>
  <c r="G34" i="8" s="1"/>
  <c r="H39" i="8" s="1"/>
  <c r="M19" i="1" s="1"/>
  <c r="F137" i="2"/>
  <c r="D89" i="11"/>
  <c r="F137" i="7"/>
  <c r="A106" i="11"/>
  <c r="A105" i="11"/>
  <c r="C105" i="11" s="1"/>
  <c r="A107" i="11"/>
  <c r="C104" i="11"/>
  <c r="D104" i="11" s="1"/>
  <c r="B133" i="11"/>
  <c r="A120" i="11"/>
  <c r="A63" i="11"/>
  <c r="C62" i="11"/>
  <c r="D62" i="11" s="1"/>
  <c r="L11" i="11"/>
  <c r="B105" i="11"/>
  <c r="B112" i="11"/>
  <c r="E112" i="11" s="1"/>
  <c r="O118" i="11" s="1"/>
  <c r="O119" i="11" s="1"/>
  <c r="L119" i="11" s="1"/>
  <c r="B107" i="11"/>
  <c r="B109" i="11"/>
  <c r="A92" i="11"/>
  <c r="C92" i="11" s="1"/>
  <c r="D92" i="11" s="1"/>
  <c r="C90" i="11"/>
  <c r="D90" i="11" s="1"/>
  <c r="M15" i="11"/>
  <c r="A93" i="11"/>
  <c r="C91" i="11"/>
  <c r="D91" i="11" s="1"/>
  <c r="A78" i="11"/>
  <c r="C77" i="11"/>
  <c r="D77" i="11" s="1"/>
  <c r="L85" i="11" s="1"/>
  <c r="C39" i="6"/>
  <c r="D35" i="5"/>
  <c r="D37" i="7"/>
  <c r="F34" i="9"/>
  <c r="G34" i="9" s="1"/>
  <c r="G39" i="9" s="1"/>
  <c r="N6" i="1" s="1"/>
  <c r="M31" i="1" s="1"/>
  <c r="F73" i="6"/>
  <c r="C39" i="9"/>
  <c r="F37" i="5"/>
  <c r="G37" i="5" s="1"/>
  <c r="D35" i="9"/>
  <c r="D36" i="7"/>
  <c r="C39" i="8"/>
  <c r="F37" i="6"/>
  <c r="G37" i="6" s="1"/>
  <c r="C39" i="5"/>
  <c r="C39" i="2"/>
  <c r="D35" i="2"/>
  <c r="H39" i="2"/>
  <c r="H19" i="1" s="1"/>
  <c r="D35" i="8"/>
  <c r="D36" i="9"/>
  <c r="D36" i="2"/>
  <c r="F39" i="2"/>
  <c r="D137" i="4"/>
  <c r="G137" i="4"/>
  <c r="G89" i="2"/>
  <c r="F121" i="2"/>
  <c r="G121" i="2"/>
  <c r="F89" i="6"/>
  <c r="G57" i="2"/>
  <c r="F121" i="8"/>
  <c r="D121" i="8"/>
  <c r="F57" i="6"/>
  <c r="D137" i="3"/>
  <c r="G121" i="4"/>
  <c r="D89" i="4"/>
  <c r="F89" i="4"/>
  <c r="D137" i="7"/>
  <c r="D35" i="7"/>
  <c r="G137" i="8"/>
  <c r="H137" i="8" s="1"/>
  <c r="D137" i="8"/>
  <c r="F34" i="4"/>
  <c r="G34" i="4" s="1"/>
  <c r="H39" i="4" s="1"/>
  <c r="I19" i="1" s="1"/>
  <c r="C39" i="7"/>
  <c r="C39" i="4"/>
  <c r="D57" i="4"/>
  <c r="G137" i="6"/>
  <c r="H137" i="6" s="1"/>
  <c r="F57" i="2"/>
  <c r="F105" i="2"/>
  <c r="D137" i="2"/>
  <c r="D137" i="5"/>
  <c r="F89" i="2"/>
  <c r="D137" i="6"/>
  <c r="D35" i="4"/>
  <c r="D39" i="4" s="1"/>
  <c r="D137" i="9"/>
  <c r="D73" i="4"/>
  <c r="F121" i="4"/>
  <c r="G89" i="9"/>
  <c r="G73" i="4"/>
  <c r="D89" i="5"/>
  <c r="F105" i="8"/>
  <c r="D89" i="9"/>
  <c r="D121" i="6"/>
  <c r="G105" i="2"/>
  <c r="D121" i="7"/>
  <c r="D73" i="8"/>
  <c r="G57" i="8"/>
  <c r="F105" i="6"/>
  <c r="F121" i="6"/>
  <c r="F73" i="3"/>
  <c r="D105" i="8"/>
  <c r="D121" i="3"/>
  <c r="F89" i="3"/>
  <c r="D121" i="4"/>
  <c r="D73" i="5"/>
  <c r="G121" i="6"/>
  <c r="H121" i="6" s="1"/>
  <c r="D89" i="8"/>
  <c r="F105" i="4"/>
  <c r="D89" i="7"/>
  <c r="D73" i="9"/>
  <c r="D121" i="2"/>
  <c r="D105" i="7"/>
  <c r="D57" i="3"/>
  <c r="F89" i="8"/>
  <c r="D121" i="5"/>
  <c r="D73" i="6"/>
  <c r="D89" i="6"/>
  <c r="D121" i="9"/>
  <c r="G68" i="3"/>
  <c r="G73" i="3" s="1"/>
  <c r="H73" i="3" s="1"/>
  <c r="G105" i="4"/>
  <c r="F73" i="4"/>
  <c r="D57" i="6"/>
  <c r="D57" i="7"/>
  <c r="D57" i="9"/>
  <c r="D57" i="5"/>
  <c r="D105" i="6"/>
  <c r="D57" i="8"/>
  <c r="D73" i="3"/>
  <c r="D105" i="3"/>
  <c r="D89" i="3"/>
  <c r="D73" i="7"/>
  <c r="D105" i="4"/>
  <c r="D105" i="9"/>
  <c r="F105" i="9"/>
  <c r="D105" i="5"/>
  <c r="F121" i="3"/>
  <c r="G73" i="9"/>
  <c r="H73" i="9" s="1"/>
  <c r="G121" i="8"/>
  <c r="H121" i="8" s="1"/>
  <c r="G73" i="8"/>
  <c r="H73" i="8" s="1"/>
  <c r="G105" i="8"/>
  <c r="H105" i="8" s="1"/>
  <c r="G89" i="8"/>
  <c r="G137" i="7"/>
  <c r="H137" i="7" s="1"/>
  <c r="F105" i="7"/>
  <c r="F73" i="7"/>
  <c r="G57" i="7"/>
  <c r="H57" i="7" s="1"/>
  <c r="G89" i="6"/>
  <c r="H89" i="6" s="1"/>
  <c r="G73" i="6"/>
  <c r="H73" i="6" s="1"/>
  <c r="G105" i="6"/>
  <c r="H105" i="6" s="1"/>
  <c r="G57" i="6"/>
  <c r="H57" i="6" s="1"/>
  <c r="G73" i="5"/>
  <c r="H73" i="5" s="1"/>
  <c r="G137" i="5"/>
  <c r="H137" i="5" s="1"/>
  <c r="F57" i="9"/>
  <c r="F137" i="9"/>
  <c r="G137" i="9"/>
  <c r="H137" i="9" s="1"/>
  <c r="G57" i="9"/>
  <c r="H57" i="9" s="1"/>
  <c r="G121" i="9"/>
  <c r="H121" i="9" s="1"/>
  <c r="F89" i="9"/>
  <c r="F73" i="9"/>
  <c r="G105" i="9"/>
  <c r="H105" i="9" s="1"/>
  <c r="F121" i="9"/>
  <c r="F57" i="8"/>
  <c r="F73" i="8"/>
  <c r="G121" i="7"/>
  <c r="H121" i="7" s="1"/>
  <c r="G105" i="7"/>
  <c r="H105" i="7" s="1"/>
  <c r="F89" i="7"/>
  <c r="F121" i="7"/>
  <c r="G89" i="7"/>
  <c r="H89" i="7" s="1"/>
  <c r="G73" i="7"/>
  <c r="H73" i="7" s="1"/>
  <c r="F57" i="7"/>
  <c r="F57" i="5"/>
  <c r="F121" i="5"/>
  <c r="F105" i="5"/>
  <c r="G105" i="5"/>
  <c r="H105" i="5" s="1"/>
  <c r="G121" i="5"/>
  <c r="H121" i="5" s="1"/>
  <c r="G57" i="5"/>
  <c r="H57" i="5" s="1"/>
  <c r="F73" i="5"/>
  <c r="G89" i="5"/>
  <c r="H89" i="5" s="1"/>
  <c r="F89" i="5"/>
  <c r="G57" i="4"/>
  <c r="H57" i="4" s="1"/>
  <c r="F57" i="4"/>
  <c r="G89" i="4"/>
  <c r="H89" i="4" s="1"/>
  <c r="G137" i="3"/>
  <c r="H137" i="3" s="1"/>
  <c r="G121" i="3"/>
  <c r="H121" i="3" s="1"/>
  <c r="G105" i="3"/>
  <c r="H105" i="3" s="1"/>
  <c r="G89" i="3"/>
  <c r="H89" i="3" s="1"/>
  <c r="F57" i="3"/>
  <c r="G57" i="3"/>
  <c r="H57" i="3" s="1"/>
  <c r="F105" i="3"/>
  <c r="G137" i="2"/>
  <c r="F73" i="2"/>
  <c r="D105" i="2"/>
  <c r="G73" i="2"/>
  <c r="H73" i="2" s="1"/>
  <c r="D89" i="2"/>
  <c r="D73" i="2"/>
  <c r="H12" i="1" l="1"/>
  <c r="G37" i="1" s="1"/>
  <c r="H137" i="2"/>
  <c r="H25" i="1" s="1"/>
  <c r="I12" i="1"/>
  <c r="H37" i="1" s="1"/>
  <c r="H137" i="4"/>
  <c r="I25" i="1" s="1"/>
  <c r="H121" i="2"/>
  <c r="H24" i="1" s="1"/>
  <c r="I11" i="1"/>
  <c r="H36" i="1" s="1"/>
  <c r="H121" i="4"/>
  <c r="I24" i="1" s="1"/>
  <c r="I8" i="1"/>
  <c r="H33" i="1" s="1"/>
  <c r="H73" i="4"/>
  <c r="I21" i="1" s="1"/>
  <c r="H57" i="8"/>
  <c r="M20" i="1" s="1"/>
  <c r="H7" i="1"/>
  <c r="G32" i="1" s="1"/>
  <c r="H57" i="2"/>
  <c r="H20" i="1" s="1"/>
  <c r="H105" i="4"/>
  <c r="I23" i="1" s="1"/>
  <c r="H105" i="2"/>
  <c r="H23" i="1" s="1"/>
  <c r="M9" i="1"/>
  <c r="L34" i="1" s="1"/>
  <c r="H89" i="8"/>
  <c r="M22" i="1" s="1"/>
  <c r="H9" i="1"/>
  <c r="G34" i="1" s="1"/>
  <c r="H89" i="2"/>
  <c r="H22" i="1" s="1"/>
  <c r="H89" i="9"/>
  <c r="N22" i="1" s="1"/>
  <c r="D101" i="11"/>
  <c r="F39" i="3"/>
  <c r="F39" i="7"/>
  <c r="H39" i="3"/>
  <c r="G39" i="7"/>
  <c r="L6" i="1" s="1"/>
  <c r="K31" i="1" s="1"/>
  <c r="D39" i="5"/>
  <c r="H39" i="9"/>
  <c r="N19" i="1" s="1"/>
  <c r="D39" i="8"/>
  <c r="F39" i="8"/>
  <c r="D39" i="9"/>
  <c r="F39" i="9"/>
  <c r="H39" i="6"/>
  <c r="K19" i="1" s="1"/>
  <c r="D105" i="11"/>
  <c r="H11" i="1"/>
  <c r="G36" i="1" s="1"/>
  <c r="G39" i="6"/>
  <c r="K6" i="1" s="1"/>
  <c r="J31" i="1" s="1"/>
  <c r="F39" i="6"/>
  <c r="B149" i="11"/>
  <c r="A136" i="11"/>
  <c r="L12" i="11"/>
  <c r="A123" i="11"/>
  <c r="A122" i="11"/>
  <c r="A121" i="11"/>
  <c r="C121" i="11" s="1"/>
  <c r="C120" i="11"/>
  <c r="D120" i="11" s="1"/>
  <c r="A64" i="11"/>
  <c r="C63" i="11"/>
  <c r="D63" i="11" s="1"/>
  <c r="A109" i="11"/>
  <c r="C107" i="11"/>
  <c r="D107" i="11" s="1"/>
  <c r="A108" i="11"/>
  <c r="C108" i="11" s="1"/>
  <c r="D108" i="11" s="1"/>
  <c r="C106" i="11"/>
  <c r="D106" i="11" s="1"/>
  <c r="A79" i="11"/>
  <c r="C78" i="11"/>
  <c r="D78" i="11" s="1"/>
  <c r="A94" i="11"/>
  <c r="C93" i="11"/>
  <c r="D93" i="11" s="1"/>
  <c r="L101" i="11" s="1"/>
  <c r="M16" i="11"/>
  <c r="B128" i="11"/>
  <c r="E128" i="11" s="1"/>
  <c r="O134" i="11" s="1"/>
  <c r="O135" i="11" s="1"/>
  <c r="L135" i="11" s="1"/>
  <c r="B123" i="11"/>
  <c r="B121" i="11"/>
  <c r="B125" i="11"/>
  <c r="F39" i="5"/>
  <c r="D39" i="7"/>
  <c r="G39" i="5"/>
  <c r="J6" i="1" s="1"/>
  <c r="I31" i="1" s="1"/>
  <c r="D39" i="2"/>
  <c r="G39" i="4"/>
  <c r="I6" i="1" s="1"/>
  <c r="H31" i="1" s="1"/>
  <c r="H10" i="1"/>
  <c r="G35" i="1" s="1"/>
  <c r="M7" i="1"/>
  <c r="L32" i="1" s="1"/>
  <c r="O8" i="1"/>
  <c r="N33" i="1" s="1"/>
  <c r="O7" i="1"/>
  <c r="N32" i="1" s="1"/>
  <c r="O9" i="1"/>
  <c r="N34" i="1" s="1"/>
  <c r="O10" i="1"/>
  <c r="N35" i="1" s="1"/>
  <c r="O11" i="1"/>
  <c r="N36" i="1" s="1"/>
  <c r="N25" i="1"/>
  <c r="N12" i="1"/>
  <c r="M37" i="1" s="1"/>
  <c r="O12" i="1"/>
  <c r="N37" i="1" s="1"/>
  <c r="H39" i="5"/>
  <c r="J19" i="1" s="1"/>
  <c r="F39" i="4"/>
  <c r="M25" i="1"/>
  <c r="M12" i="1"/>
  <c r="L37" i="1" s="1"/>
  <c r="G39" i="8"/>
  <c r="M6" i="1" s="1"/>
  <c r="L31" i="1" s="1"/>
  <c r="K25" i="1"/>
  <c r="K12" i="1"/>
  <c r="J37" i="1" s="1"/>
  <c r="J25" i="1"/>
  <c r="J12" i="1"/>
  <c r="I37" i="1" s="1"/>
  <c r="L25" i="1"/>
  <c r="L12" i="1"/>
  <c r="K37" i="1" s="1"/>
  <c r="N9" i="1"/>
  <c r="M34" i="1" s="1"/>
  <c r="I10" i="1"/>
  <c r="H35" i="1" s="1"/>
  <c r="N20" i="1"/>
  <c r="N7" i="1"/>
  <c r="M32" i="1" s="1"/>
  <c r="H21" i="1"/>
  <c r="H8" i="1"/>
  <c r="G33" i="1" s="1"/>
  <c r="L20" i="1"/>
  <c r="L7" i="1"/>
  <c r="K32" i="1" s="1"/>
  <c r="J22" i="1"/>
  <c r="J9" i="1"/>
  <c r="I34" i="1" s="1"/>
  <c r="N24" i="1"/>
  <c r="N11" i="1"/>
  <c r="M36" i="1" s="1"/>
  <c r="N21" i="1"/>
  <c r="N8" i="1"/>
  <c r="M33" i="1" s="1"/>
  <c r="K24" i="1"/>
  <c r="K11" i="1"/>
  <c r="J36" i="1" s="1"/>
  <c r="I22" i="1"/>
  <c r="I9" i="1"/>
  <c r="H34" i="1" s="1"/>
  <c r="K21" i="1"/>
  <c r="K8" i="1"/>
  <c r="J33" i="1" s="1"/>
  <c r="L21" i="1"/>
  <c r="L8" i="1"/>
  <c r="K33" i="1" s="1"/>
  <c r="M24" i="1"/>
  <c r="M11" i="1"/>
  <c r="L36" i="1" s="1"/>
  <c r="I20" i="1"/>
  <c r="I7" i="1"/>
  <c r="H32" i="1" s="1"/>
  <c r="K22" i="1"/>
  <c r="K9" i="1"/>
  <c r="J34" i="1" s="1"/>
  <c r="J24" i="1"/>
  <c r="J11" i="1"/>
  <c r="I36" i="1" s="1"/>
  <c r="L22" i="1"/>
  <c r="L9" i="1"/>
  <c r="K34" i="1" s="1"/>
  <c r="L24" i="1"/>
  <c r="L11" i="1"/>
  <c r="K36" i="1" s="1"/>
  <c r="J20" i="1"/>
  <c r="J7" i="1"/>
  <c r="J21" i="1"/>
  <c r="J8" i="1"/>
  <c r="I33" i="1" s="1"/>
  <c r="M21" i="1"/>
  <c r="M8" i="1"/>
  <c r="L33" i="1" s="1"/>
  <c r="K20" i="1"/>
  <c r="K7" i="1"/>
  <c r="J32" i="1" s="1"/>
  <c r="N23" i="1"/>
  <c r="N10" i="1"/>
  <c r="M35" i="1" s="1"/>
  <c r="M23" i="1"/>
  <c r="M10" i="1"/>
  <c r="L35" i="1" s="1"/>
  <c r="J23" i="1"/>
  <c r="J10" i="1"/>
  <c r="I35" i="1" s="1"/>
  <c r="L23" i="1"/>
  <c r="L10" i="1"/>
  <c r="K35" i="1" s="1"/>
  <c r="K23" i="1"/>
  <c r="K10" i="1"/>
  <c r="J35" i="1" s="1"/>
  <c r="H17" i="1"/>
  <c r="D117" i="11" l="1"/>
  <c r="I32" i="1"/>
  <c r="B29" i="13" a="1"/>
  <c r="B29" i="13" s="1"/>
  <c r="C29" i="13" a="1"/>
  <c r="C29" i="13" s="1"/>
  <c r="D121" i="11"/>
  <c r="B144" i="11"/>
  <c r="E144" i="11" s="1"/>
  <c r="O150" i="11" s="1"/>
  <c r="O151" i="11" s="1"/>
  <c r="L151" i="11" s="1"/>
  <c r="B139" i="11"/>
  <c r="B137" i="11"/>
  <c r="B141" i="11"/>
  <c r="L13" i="11"/>
  <c r="A110" i="11"/>
  <c r="C109" i="11"/>
  <c r="D109" i="11" s="1"/>
  <c r="L117" i="11" s="1"/>
  <c r="J4" i="11" a="1"/>
  <c r="J4" i="11" s="1"/>
  <c r="A137" i="11"/>
  <c r="C137" i="11" s="1"/>
  <c r="A139" i="11"/>
  <c r="A138" i="11"/>
  <c r="C136" i="11"/>
  <c r="D136" i="11" s="1"/>
  <c r="A95" i="11"/>
  <c r="C94" i="11"/>
  <c r="D94" i="11" s="1"/>
  <c r="A80" i="11"/>
  <c r="C79" i="11"/>
  <c r="D79" i="11" s="1"/>
  <c r="B165" i="11"/>
  <c r="A152" i="11"/>
  <c r="A124" i="11"/>
  <c r="C124" i="11" s="1"/>
  <c r="D124" i="11" s="1"/>
  <c r="C122" i="11"/>
  <c r="D122" i="11" s="1"/>
  <c r="A125" i="11"/>
  <c r="C123" i="11"/>
  <c r="D123" i="11" s="1"/>
  <c r="C64" i="11"/>
  <c r="D64" i="11" s="1"/>
  <c r="M17" i="11"/>
  <c r="D70" i="11" l="1"/>
  <c r="D133" i="11"/>
  <c r="D137" i="11"/>
  <c r="L14" i="11"/>
  <c r="A111" i="11"/>
  <c r="C110" i="11"/>
  <c r="D110" i="11" s="1"/>
  <c r="M18" i="11"/>
  <c r="A96" i="11"/>
  <c r="C95" i="11"/>
  <c r="D95" i="11" s="1"/>
  <c r="A140" i="11"/>
  <c r="C140" i="11" s="1"/>
  <c r="D140" i="11" s="1"/>
  <c r="C138" i="11"/>
  <c r="D138" i="11" s="1"/>
  <c r="B157" i="11"/>
  <c r="B155" i="11"/>
  <c r="B153" i="11"/>
  <c r="B161" i="11"/>
  <c r="E161" i="11" s="1"/>
  <c r="O166" i="11" s="1"/>
  <c r="O167" i="11" s="1"/>
  <c r="L167" i="11" s="1"/>
  <c r="A141" i="11"/>
  <c r="C139" i="11"/>
  <c r="D139" i="11" s="1"/>
  <c r="A154" i="11"/>
  <c r="A153" i="11"/>
  <c r="C153" i="11" s="1"/>
  <c r="A155" i="11"/>
  <c r="C152" i="11"/>
  <c r="D152" i="11" s="1"/>
  <c r="C80" i="11"/>
  <c r="D80" i="11" s="1"/>
  <c r="B181" i="11"/>
  <c r="A168" i="11"/>
  <c r="A126" i="11"/>
  <c r="C125" i="11"/>
  <c r="D125" i="11" s="1"/>
  <c r="L133" i="11" s="1"/>
  <c r="D86" i="11" l="1"/>
  <c r="D149" i="11"/>
  <c r="D153" i="11"/>
  <c r="B176" i="11"/>
  <c r="E176" i="11" s="1"/>
  <c r="O182" i="11" s="1"/>
  <c r="O183" i="11" s="1"/>
  <c r="L183" i="11" s="1"/>
  <c r="B173" i="11"/>
  <c r="B171" i="11"/>
  <c r="B169" i="11"/>
  <c r="C96" i="11"/>
  <c r="D96" i="11" s="1"/>
  <c r="A156" i="11"/>
  <c r="C156" i="11" s="1"/>
  <c r="D156" i="11" s="1"/>
  <c r="C154" i="11"/>
  <c r="D154" i="11" s="1"/>
  <c r="A127" i="11"/>
  <c r="C126" i="11"/>
  <c r="D126" i="11" s="1"/>
  <c r="A170" i="11"/>
  <c r="A169" i="11"/>
  <c r="C169" i="11" s="1"/>
  <c r="A171" i="11"/>
  <c r="C168" i="11"/>
  <c r="D168" i="11" s="1"/>
  <c r="A112" i="11"/>
  <c r="C111" i="11"/>
  <c r="D111" i="11" s="1"/>
  <c r="A142" i="11"/>
  <c r="C141" i="11"/>
  <c r="D141" i="11" s="1"/>
  <c r="L149" i="11" s="1"/>
  <c r="A157" i="11"/>
  <c r="C155" i="11"/>
  <c r="D155" i="11" s="1"/>
  <c r="M19" i="11"/>
  <c r="B197" i="11"/>
  <c r="A184" i="11"/>
  <c r="D102" i="11" l="1"/>
  <c r="D165" i="11"/>
  <c r="D169" i="11"/>
  <c r="A143" i="11"/>
  <c r="C142" i="11"/>
  <c r="D142" i="11" s="1"/>
  <c r="A158" i="11"/>
  <c r="C157" i="11"/>
  <c r="D157" i="11" s="1"/>
  <c r="L165" i="11" s="1"/>
  <c r="C112" i="11"/>
  <c r="D112" i="11" s="1"/>
  <c r="L16" i="11"/>
  <c r="B192" i="11"/>
  <c r="E192" i="11" s="1"/>
  <c r="O198" i="11" s="1"/>
  <c r="O199" i="11" s="1"/>
  <c r="L199" i="11" s="1"/>
  <c r="B189" i="11"/>
  <c r="B187" i="11"/>
  <c r="B185" i="11"/>
  <c r="A187" i="11"/>
  <c r="A186" i="11"/>
  <c r="A185" i="11"/>
  <c r="C185" i="11" s="1"/>
  <c r="C184" i="11"/>
  <c r="D184" i="11" s="1"/>
  <c r="A173" i="11"/>
  <c r="C171" i="11"/>
  <c r="D171" i="11" s="1"/>
  <c r="A172" i="11"/>
  <c r="C172" i="11" s="1"/>
  <c r="D172" i="11" s="1"/>
  <c r="C170" i="11"/>
  <c r="D170" i="11" s="1"/>
  <c r="A128" i="11"/>
  <c r="C127" i="11"/>
  <c r="D127" i="11" s="1"/>
  <c r="B213" i="11"/>
  <c r="A200" i="11"/>
  <c r="D118" i="11" l="1"/>
  <c r="D181" i="11"/>
  <c r="B205" i="11"/>
  <c r="B201" i="11"/>
  <c r="B203" i="11"/>
  <c r="B208" i="11"/>
  <c r="E208" i="11" s="1"/>
  <c r="O214" i="11" s="1"/>
  <c r="O215" i="11" s="1"/>
  <c r="L215" i="11" s="1"/>
  <c r="A188" i="11"/>
  <c r="C188" i="11" s="1"/>
  <c r="D188" i="11" s="1"/>
  <c r="C186" i="11"/>
  <c r="D186" i="11" s="1"/>
  <c r="A201" i="11"/>
  <c r="C201" i="11" s="1"/>
  <c r="A203" i="11"/>
  <c r="A202" i="11"/>
  <c r="C200" i="11"/>
  <c r="D200" i="11" s="1"/>
  <c r="L17" i="11"/>
  <c r="A160" i="11"/>
  <c r="C158" i="11"/>
  <c r="D158" i="11" s="1"/>
  <c r="A144" i="11"/>
  <c r="C143" i="11"/>
  <c r="D143" i="11" s="1"/>
  <c r="C128" i="11"/>
  <c r="D128" i="11" s="1"/>
  <c r="B229" i="11"/>
  <c r="A216" i="11"/>
  <c r="D185" i="11"/>
  <c r="A189" i="11"/>
  <c r="C187" i="11"/>
  <c r="D187" i="11" s="1"/>
  <c r="A174" i="11"/>
  <c r="C173" i="11"/>
  <c r="D173" i="11" s="1"/>
  <c r="L181" i="11" s="1"/>
  <c r="J7" i="11" a="1"/>
  <c r="J7" i="11" s="1"/>
  <c r="I7" i="11" a="1"/>
  <c r="I7" i="11" s="1"/>
  <c r="D134" i="11" l="1"/>
  <c r="D197" i="11"/>
  <c r="A205" i="11"/>
  <c r="C203" i="11"/>
  <c r="D203" i="11" s="1"/>
  <c r="A190" i="11"/>
  <c r="C189" i="11"/>
  <c r="D189" i="11" s="1"/>
  <c r="L197" i="11" s="1"/>
  <c r="D201" i="11"/>
  <c r="A175" i="11"/>
  <c r="C174" i="11"/>
  <c r="D174" i="11" s="1"/>
  <c r="B221" i="11"/>
  <c r="B217" i="11"/>
  <c r="B224" i="11"/>
  <c r="E224" i="11" s="1"/>
  <c r="O230" i="11" s="1"/>
  <c r="O231" i="11" s="1"/>
  <c r="L231" i="11" s="1"/>
  <c r="B219" i="11"/>
  <c r="A161" i="11"/>
  <c r="C160" i="11"/>
  <c r="D160" i="11" s="1"/>
  <c r="L18" i="11"/>
  <c r="C144" i="11"/>
  <c r="D144" i="11" s="1"/>
  <c r="A218" i="11"/>
  <c r="A217" i="11"/>
  <c r="C217" i="11" s="1"/>
  <c r="A219" i="11"/>
  <c r="C216" i="11"/>
  <c r="D216" i="11" s="1"/>
  <c r="J8" i="11" a="1"/>
  <c r="J8" i="11" s="1"/>
  <c r="I8" i="11" a="1"/>
  <c r="I8" i="11" s="1"/>
  <c r="B245" i="11"/>
  <c r="A232" i="11"/>
  <c r="A204" i="11"/>
  <c r="C204" i="11" s="1"/>
  <c r="D204" i="11" s="1"/>
  <c r="C202" i="11"/>
  <c r="D202" i="11" s="1"/>
  <c r="D150" i="11" l="1"/>
  <c r="D213" i="11"/>
  <c r="B237" i="11"/>
  <c r="B235" i="11"/>
  <c r="B233" i="11"/>
  <c r="B240" i="11"/>
  <c r="E240" i="11" s="1"/>
  <c r="O246" i="11" s="1"/>
  <c r="O247" i="11" s="1"/>
  <c r="L247" i="11" s="1"/>
  <c r="D217" i="11"/>
  <c r="A234" i="11"/>
  <c r="A233" i="11"/>
  <c r="C233" i="11" s="1"/>
  <c r="A235" i="11"/>
  <c r="C232" i="11"/>
  <c r="D232" i="11" s="1"/>
  <c r="A220" i="11"/>
  <c r="C220" i="11" s="1"/>
  <c r="D220" i="11" s="1"/>
  <c r="C218" i="11"/>
  <c r="D218" i="11" s="1"/>
  <c r="L19" i="11"/>
  <c r="A191" i="11"/>
  <c r="C190" i="11"/>
  <c r="D190" i="11" s="1"/>
  <c r="A221" i="11"/>
  <c r="C219" i="11"/>
  <c r="D219" i="11" s="1"/>
  <c r="C161" i="11"/>
  <c r="D161" i="11" s="1"/>
  <c r="A248" i="11"/>
  <c r="A206" i="11"/>
  <c r="C205" i="11"/>
  <c r="D205" i="11" s="1"/>
  <c r="L213" i="11" s="1"/>
  <c r="A176" i="11"/>
  <c r="C175" i="11"/>
  <c r="D175" i="11" s="1"/>
  <c r="J9" i="11" a="1"/>
  <c r="J9" i="11" s="1"/>
  <c r="I9" i="11" a="1"/>
  <c r="I9" i="11" s="1"/>
  <c r="D166" i="11" l="1"/>
  <c r="J10" i="11" a="1"/>
  <c r="J10" i="11" s="1"/>
  <c r="D229" i="11"/>
  <c r="I10" i="11" a="1"/>
  <c r="I10" i="11" s="1"/>
  <c r="D233" i="11"/>
  <c r="B251" i="11"/>
  <c r="B249" i="11"/>
  <c r="B253" i="11"/>
  <c r="B256" i="11"/>
  <c r="E256" i="11" s="1"/>
  <c r="O262" i="11" s="1"/>
  <c r="O263" i="11" s="1"/>
  <c r="L263" i="11" s="1"/>
  <c r="C176" i="11"/>
  <c r="D176" i="11" s="1"/>
  <c r="A207" i="11"/>
  <c r="C206" i="11"/>
  <c r="D206" i="11" s="1"/>
  <c r="A237" i="11"/>
  <c r="C235" i="11"/>
  <c r="D235" i="11" s="1"/>
  <c r="A236" i="11"/>
  <c r="C236" i="11" s="1"/>
  <c r="D236" i="11" s="1"/>
  <c r="C234" i="11"/>
  <c r="D234" i="11" s="1"/>
  <c r="A222" i="11"/>
  <c r="C221" i="11"/>
  <c r="D221" i="11" s="1"/>
  <c r="L229" i="11" s="1"/>
  <c r="A192" i="11"/>
  <c r="C191" i="11"/>
  <c r="D191" i="11" s="1"/>
  <c r="A251" i="11"/>
  <c r="A250" i="11"/>
  <c r="A249" i="11"/>
  <c r="C249" i="11" s="1"/>
  <c r="C248" i="11"/>
  <c r="D248" i="11" s="1"/>
  <c r="D182" i="11" l="1"/>
  <c r="D245" i="11"/>
  <c r="A253" i="11"/>
  <c r="C251" i="11"/>
  <c r="D251" i="11" s="1"/>
  <c r="C192" i="11"/>
  <c r="D192" i="11" s="1"/>
  <c r="D249" i="11"/>
  <c r="J11" i="11" a="1"/>
  <c r="J11" i="11" s="1"/>
  <c r="I11" i="11" a="1"/>
  <c r="I11" i="11" s="1"/>
  <c r="A238" i="11"/>
  <c r="C237" i="11"/>
  <c r="D237" i="11" s="1"/>
  <c r="L245" i="11" s="1"/>
  <c r="A208" i="11"/>
  <c r="C207" i="11"/>
  <c r="D207" i="11" s="1"/>
  <c r="A223" i="11"/>
  <c r="C222" i="11"/>
  <c r="D222" i="11" s="1"/>
  <c r="A252" i="11"/>
  <c r="C252" i="11" s="1"/>
  <c r="D252" i="11" s="1"/>
  <c r="C250" i="11"/>
  <c r="D250" i="11" s="1"/>
  <c r="D198" i="11" l="1"/>
  <c r="D261" i="11"/>
  <c r="J13" i="11" a="1"/>
  <c r="J13" i="11" s="1"/>
  <c r="J12" i="11" a="1"/>
  <c r="J12" i="11" s="1"/>
  <c r="I12" i="11" a="1"/>
  <c r="I12" i="11" s="1"/>
  <c r="A239" i="11"/>
  <c r="C238" i="11"/>
  <c r="D238" i="11" s="1"/>
  <c r="A224" i="11"/>
  <c r="C223" i="11"/>
  <c r="D223" i="11" s="1"/>
  <c r="C208" i="11"/>
  <c r="D208" i="11" s="1"/>
  <c r="A254" i="11"/>
  <c r="C253" i="11"/>
  <c r="D253" i="11" s="1"/>
  <c r="L261" i="11" s="1"/>
  <c r="D214" i="11" l="1"/>
  <c r="I13" i="11" a="1"/>
  <c r="I13" i="11" s="1"/>
  <c r="I14" i="11" a="1"/>
  <c r="I14" i="11" s="1"/>
  <c r="C224" i="11"/>
  <c r="D224" i="11" s="1"/>
  <c r="A240" i="11"/>
  <c r="C239" i="11"/>
  <c r="D239" i="11" s="1"/>
  <c r="A255" i="11"/>
  <c r="C254" i="11"/>
  <c r="D254" i="11" s="1"/>
  <c r="D230" i="11" l="1"/>
  <c r="J14" i="11" a="1"/>
  <c r="J14" i="11" s="1"/>
  <c r="C240" i="11"/>
  <c r="D240" i="11" s="1"/>
  <c r="A256" i="11"/>
  <c r="C255" i="11"/>
  <c r="D255" i="11" s="1"/>
  <c r="D246" i="11" l="1"/>
  <c r="C256" i="11"/>
  <c r="D256" i="11" s="1"/>
  <c r="J15" i="11" a="1"/>
  <c r="J15" i="11" s="1"/>
  <c r="I15" i="11" a="1"/>
  <c r="I15" i="11" s="1"/>
  <c r="D262" i="11" l="1"/>
  <c r="J16" i="11" a="1"/>
  <c r="J16" i="11" s="1"/>
  <c r="I16" i="11" a="1"/>
  <c r="I16" i="11" s="1"/>
  <c r="J17" i="11" l="1" a="1"/>
  <c r="J17" i="11" s="1"/>
  <c r="I17" i="11" a="1"/>
  <c r="I17" i="11" s="1"/>
  <c r="J18" i="11" l="1" a="1"/>
  <c r="J18" i="11" s="1"/>
  <c r="I18" i="11" a="1"/>
  <c r="I18" i="11" s="1"/>
  <c r="J19" i="11" l="1" a="1"/>
  <c r="J19" i="11" s="1"/>
  <c r="A42" i="13" s="1"/>
  <c r="I19" i="11" a="1"/>
  <c r="I19" i="11" s="1"/>
  <c r="B20" i="1" l="1"/>
  <c r="A20" i="1" s="1"/>
  <c r="A40" i="13"/>
  <c r="B40" i="13" s="1"/>
  <c r="B42" i="13"/>
  <c r="B22" i="1"/>
  <c r="A22" i="1" s="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<sst xmlns="http://schemas.openxmlformats.org/spreadsheetml/2006/main" count="1696" uniqueCount="141">
  <si>
    <t>Kannattavuuslaskuri</t>
  </si>
  <si>
    <t>Täytä oletus viljelykasvin satotasosta</t>
  </si>
  <si>
    <t>Kasvi</t>
  </si>
  <si>
    <t>Satotaso, tonnia kuiva-ainetta hehtaarilta vuodessa</t>
  </si>
  <si>
    <t>Paju (korjuuväli 4 vuotta)</t>
  </si>
  <si>
    <t>Vaihteluväli 0–15 t k.a. /ha/v</t>
  </si>
  <si>
    <t>Ruokohelpi (korjataan joka vuosi)</t>
  </si>
  <si>
    <t>Vaihteluväli 0–10 t k.a./ha/v</t>
  </si>
  <si>
    <t>Kuituhamppu (korjataan joka vuosi)</t>
  </si>
  <si>
    <t>Tuote</t>
  </si>
  <si>
    <t>Hintaoletus, euroa /kuivatonni</t>
  </si>
  <si>
    <t>Kuituhamppu</t>
  </si>
  <si>
    <t>Valitse korkotaso (1– 8 %, ei desimaaleja)</t>
  </si>
  <si>
    <t>Korkokanta</t>
  </si>
  <si>
    <t>Viljelyinvestoinnin nettonykyarvo ja paljaan maan arvo, €/ha</t>
  </si>
  <si>
    <t>Viljelykasvi</t>
  </si>
  <si>
    <t>Kierron nettonykyarvo</t>
  </si>
  <si>
    <t>Paljaan maan arvo</t>
  </si>
  <si>
    <t>Paju, kierrätyslannoite</t>
  </si>
  <si>
    <t>Lisälannoitus mineraalitypellä ja -kaliumilla</t>
  </si>
  <si>
    <t>Paju, mineraalilannoitteet</t>
  </si>
  <si>
    <t>Viljelmän elinkaari 10 v</t>
  </si>
  <si>
    <t>Viljelmän elinkaari 5 v</t>
  </si>
  <si>
    <t>Ruokohelpi, kesäkorjuu silppuna biokaasusyötteeksi</t>
  </si>
  <si>
    <t>Ruokohelpi kuivikkeksi, kevätkorjuu</t>
  </si>
  <si>
    <t>Ruokohelpi kasvualustaksi, kevätkorjuu</t>
  </si>
  <si>
    <t>Hieskoivun kasvatuksen kannattavuus ja kiertoaika (15–30 vuotta)</t>
  </si>
  <si>
    <t>Hieskoivuhakkeen hinta</t>
  </si>
  <si>
    <t>€/tonni kuiva-ainetta (1 kuivatonni vastaa noin 2,3 kiintokuutiometriä)</t>
  </si>
  <si>
    <t>Nettonykyarvo, €/ha (ensimmäinen kiertoaika)</t>
  </si>
  <si>
    <t>Kannattavin kiertoaika nettonykyarvon perusteella</t>
  </si>
  <si>
    <t>v</t>
  </si>
  <si>
    <t>Paljaan maan arvo, €/ha</t>
  </si>
  <si>
    <t>Kannattavin kiertoaika paljaan maan arvon perusteella</t>
  </si>
  <si>
    <t>Aurinkovoiman kannattavuus</t>
  </si>
  <si>
    <t>Vuokrasopimuksen pituus, 1–61 vuotta</t>
  </si>
  <si>
    <t>Vuokran suuruus, €/ha/v</t>
  </si>
  <si>
    <t>Nettonykyarvo</t>
  </si>
  <si>
    <t>Vettämisen kannattavuus</t>
  </si>
  <si>
    <r>
      <rPr>
        <b/>
        <sz val="11"/>
        <color rgb="FF000000"/>
        <rFont val="Aptos Narrow"/>
        <family val="2"/>
      </rPr>
      <t>Hiilidioksidiekvivalenttitonnin hinta, €/ t CO</t>
    </r>
    <r>
      <rPr>
        <b/>
        <vertAlign val="subscript"/>
        <sz val="11"/>
        <color rgb="FF000000"/>
        <rFont val="Aptos Narrow"/>
        <family val="2"/>
      </rPr>
      <t>2</t>
    </r>
    <r>
      <rPr>
        <b/>
        <sz val="11"/>
        <color rgb="FF000000"/>
        <rFont val="Aptos Narrow"/>
        <family val="2"/>
      </rPr>
      <t>-ekv.</t>
    </r>
  </si>
  <si>
    <t>Kannattavuuslaskennassa oletetut tuotantoketjut ja tuotantopanokset</t>
  </si>
  <si>
    <t>Tuotantolohkojen pinta-alaksi on oletettu 25 ha (avo-ojat). Kasvustojen perustamista edeltää ojien kunnostus, sarkojen muotoilu, tuhkalannoitus ja kalkitus. Hieskoivulle ainoa toimenpide on tuhkalannoitus.</t>
  </si>
  <si>
    <r>
      <rPr>
        <b/>
        <sz val="11"/>
        <color theme="1"/>
        <rFont val="Aptos Narrow"/>
        <family val="2"/>
        <scheme val="minor"/>
      </rPr>
      <t>Kuituhamppu kuituteollisuuteen:</t>
    </r>
    <r>
      <rPr>
        <sz val="11"/>
        <color theme="1"/>
        <rFont val="Aptos Narrow"/>
        <family val="2"/>
        <scheme val="minor"/>
      </rPr>
      <t xml:space="preserve"> Edellisvuoden sato korjataan keväällä kanttipaaleihin. Kasvustoa ei yleensä tarvitse niittää, pelkkä karhotus riittää. Paalit välivarastoidaan pressujen alla suon laidassa. Paalit kuljetetaan rekalla 220 km:n päähän oletetulle jalostuslaitokselle.</t>
    </r>
  </si>
  <si>
    <r>
      <rPr>
        <b/>
        <sz val="11"/>
        <color theme="1"/>
        <rFont val="Aptos Narrow"/>
        <family val="2"/>
        <scheme val="minor"/>
      </rPr>
      <t>Ruokohelpi biokaasun raaka-aineeksi, kesäkorjuu</t>
    </r>
    <r>
      <rPr>
        <sz val="11"/>
        <color theme="1"/>
        <rFont val="Aptos Narrow"/>
        <family val="2"/>
        <scheme val="minor"/>
      </rPr>
      <t>: Kasvusto niitetään heinäkuussa ja karhotetaan. Liiallista kuivumista vältetään. Sato korjataan ajosilppurilla ja varastoidaan suon laidassa aumassa säilörehun tapaan. Materiaalia kuljetetaan kysynnän mukaan 20 km:n päähän biokaasulaitokselle. Kuljetus tapahtuu traktoriperävaunulla.</t>
    </r>
  </si>
  <si>
    <r>
      <rPr>
        <b/>
        <sz val="11"/>
        <color theme="1"/>
        <rFont val="Aptos Narrow"/>
        <family val="2"/>
        <scheme val="minor"/>
      </rPr>
      <t>Paju biohiilen raaka-aineeksi</t>
    </r>
    <r>
      <rPr>
        <sz val="11"/>
        <color theme="1"/>
        <rFont val="Aptos Narrow"/>
        <family val="2"/>
        <scheme val="minor"/>
      </rPr>
      <t>: Kasvusto perustetaan pistokkaista. Laskelmissa on kaksi lannoitusvaihtoehtoa: 1) mineraalilannoitteet tai 2) yhdyskuntalietekomposti, jota täydennetään mineraalitypellä ja -kaliumilla. Sato korjataan kasvuston alasleikkuun jälkeen joka neljäs vuosi. Paras sadonkorjuuaika on routainen ja vähäluminen talvi. Kasvusto hakataan jatkuvatoimisella Risupeto-keräilykaatolaitteella nippuihin, jotka ajetaan suon laitaan kuivumaan. Varastopinot peitetään peitepaperilla ja haketetaan suoraan rekkaan noin puolen vuoden kuivumisen jälkeen. Hake kuljetetaan rekalla 30 km:n päässä sijaitsevalle biohiililaitokselle. Seuraava pajusukupolvi syntyy kantovesoista.</t>
    </r>
  </si>
  <si>
    <r>
      <rPr>
        <b/>
        <sz val="11"/>
        <color theme="1"/>
        <rFont val="Aptos Narrow"/>
        <family val="2"/>
        <scheme val="minor"/>
      </rPr>
      <t>Hieskoivu biohiilen raaka-aineeksi</t>
    </r>
    <r>
      <rPr>
        <sz val="11"/>
        <color theme="1"/>
        <rFont val="Aptos Narrow"/>
        <family val="2"/>
        <scheme val="minor"/>
      </rPr>
      <t>: Aluksi tehdään tuhkalannoitus. Hieskoivutiheikkö syntyy luontaisesti lähistöllä kasvavien hieskoivujen siemenistä. Kaaviossa kiertoaikaesimerkkinä on 22 vuotta, jolloin keskimääräinen vuotuinen biomassatuotos on suurimmillaan suonpohjille luontaisesti syntyneiden, 15</t>
    </r>
    <r>
      <rPr>
        <sz val="11"/>
        <color theme="1"/>
        <rFont val="Aptos Narrow"/>
        <family val="2"/>
      </rPr>
      <t>–</t>
    </r>
    <r>
      <rPr>
        <sz val="11"/>
        <color theme="1"/>
        <rFont val="Aptos Narrow"/>
        <family val="2"/>
        <scheme val="minor"/>
      </rPr>
      <t xml:space="preserve">30-vuotiaiden hieskoivikoiden mittaustulosten mukaan. Paras sadonkorjuuaika on vähäluminen ja routainen talvi. Korjuu tehdään hakkuukoneella kokopuun keräilykaatona, ja puu kuljetetaan kuormatraktorilla tienvarteen kuivumaan puoleksi vuodeksi peitepaperilla suojattuna. Kokopuu haketetaan suoraan hakeautoon ja kuljetetaan 30 km:n päässä sijaitsevalle käyttöpaikalle. Paljaan maan arvon laskennassa olettiin että, metsikkö uusiutuu kantovesoista kaksi kertaa ja neljännestä kiertoajasta eteenpäin uudistuminen varmistetaan maanmuokkauksella. </t>
    </r>
  </si>
  <si>
    <t>Hintaoletus (€/tonni)</t>
  </si>
  <si>
    <t>Biohiili</t>
  </si>
  <si>
    <t>Koko kierron nettonykyarvo</t>
  </si>
  <si>
    <t>Biokaasu</t>
  </si>
  <si>
    <t>Korkotaso</t>
  </si>
  <si>
    <t>Kuivike</t>
  </si>
  <si>
    <t>Kasvualusta</t>
  </si>
  <si>
    <t>Hieskoivu biohiili</t>
  </si>
  <si>
    <t>Satotaso per vuosi per ha (kuiva-aineena)</t>
  </si>
  <si>
    <t>Paju</t>
  </si>
  <si>
    <t>4 vuoden välein sadonkorjuu. Eli 4 x vuosittainen satotaso</t>
  </si>
  <si>
    <t>Hieskoivu</t>
  </si>
  <si>
    <t>21 vuoden välein sadonkorjuu. Eli 21 x vuosittainen satotaso</t>
  </si>
  <si>
    <t>Ruokohelpi</t>
  </si>
  <si>
    <t>Hieskoivulaskuri</t>
  </si>
  <si>
    <t>Hakkeen hinta</t>
  </si>
  <si>
    <t>€/t k.a</t>
  </si>
  <si>
    <t>Kannattavin kiertoaika nettonykyarvolle</t>
  </si>
  <si>
    <t>Kannattavin kiertoaika paljaan maan arvolle</t>
  </si>
  <si>
    <t>Aurinkovoima</t>
  </si>
  <si>
    <t>Vuokrasopimuksen pituus</t>
  </si>
  <si>
    <t>Vuokran suuruus</t>
  </si>
  <si>
    <t xml:space="preserve">Equivalent annual net benefit </t>
  </si>
  <si>
    <t>Vettämisen korvaukset</t>
  </si>
  <si>
    <t>Katso equivalent annual net benefit menetelmä. Hankkeen nettonykyarvo jaetaan annuiteettitekijällä, jolloin saadaan vuosittainen hyöty. Suurin vuosittainen hyöty on kannattavin hanke.</t>
  </si>
  <si>
    <t>Pirkka laskelma vettämisestä</t>
  </si>
  <si>
    <t>Biokaasu ruokohelpi kesäkorjuu</t>
  </si>
  <si>
    <t>CRCF draftissa vettämisen minimikesto on 10 vuotta ja sen voisi uusia kahdesti. Eli CRCF-yksiköitä ja tuloja voi saada näin ollen 30 vuotta maksimissa.</t>
  </si>
  <si>
    <t>Ruokohelpi kuivike</t>
  </si>
  <si>
    <t>Hiilen hinta</t>
  </si>
  <si>
    <t>Vettämisessä olennaista on nettonykyarvo, koska pinta-alan tuotot on nolla CRCF sopimusten loputtua.</t>
  </si>
  <si>
    <t>Ruokohelpi kasvialusta</t>
  </si>
  <si>
    <t>Vuosi</t>
  </si>
  <si>
    <t>Hehtaarivuokra</t>
  </si>
  <si>
    <t>Päästövähennys</t>
  </si>
  <si>
    <t>CRCF korvaus</t>
  </si>
  <si>
    <t>Pirkka laskelma aurinkovoimasta</t>
  </si>
  <si>
    <t>Bare land value</t>
  </si>
  <si>
    <t>Aurinkovoimala</t>
  </si>
  <si>
    <t>200 € maan vuokralla 30 vuoden aurinkovoimala kannattavampi kuin aiemmin lasketut</t>
  </si>
  <si>
    <t>Vettäminen</t>
  </si>
  <si>
    <t>60 cm turvekerros ja 20 € hiilen hinta per tonni kannattavaa vettää</t>
  </si>
  <si>
    <t>Turvetuotantoalan päästöt on inventaarioraportin perusteella</t>
  </si>
  <si>
    <t xml:space="preserve">2,6 tonnia C per ha per vuosi eli 2,6 * 3,66666 = 9,5 tonnia. </t>
  </si>
  <si>
    <t>Paljonko pitäisi hiilen hinnan olla, jotta CRCF:n kautta saisi suuremman NPV:n?</t>
  </si>
  <si>
    <t>Jos käytetään 20 € hiilen hintaa ja 5 % korkokantaa, olisi vettäminen kannattavampaa kuin kannattavin "aktiivinen" käyttö.</t>
  </si>
  <si>
    <t>Eli saatava nettonykyarvo tuotoista ylittää paljaan maan arvon Paju municipal slud käytössä.</t>
  </si>
  <si>
    <t>Tässä oletetaan, että muu toimija maksaa vettämisen kustannuksen ja että turvekerros on väh. 60 cm.</t>
  </si>
  <si>
    <t>korko</t>
  </si>
  <si>
    <t>Paju municipal slud</t>
  </si>
  <si>
    <t>Kiinteät kustannukset</t>
  </si>
  <si>
    <t>Muuttuvat kustannukset</t>
  </si>
  <si>
    <t>Liikevaihto</t>
  </si>
  <si>
    <t>Tuotto</t>
  </si>
  <si>
    <t>Diskontatut kustannukset</t>
  </si>
  <si>
    <t>Diskontattu liikevaihto</t>
  </si>
  <si>
    <t>Diskontattu tuotto</t>
  </si>
  <si>
    <t>Summat</t>
  </si>
  <si>
    <t>Keskiarvo aluetalouslaskelmiin</t>
  </si>
  <si>
    <t>Paju biochar mineral fertilizer</t>
  </si>
  <si>
    <t>Hieskoivu biochar</t>
  </si>
  <si>
    <t>Kustannus</t>
  </si>
  <si>
    <t>Violetilla fontilla olevat tuotot ja kustannukset nettonykyarvolla, vihreät paljaan maan arvolla (nyt toistuu kahteen kertaan sama ketju)</t>
  </si>
  <si>
    <t>Kiertoaika</t>
  </si>
  <si>
    <t>Apusarake</t>
  </si>
  <si>
    <t>VUOSI</t>
  </si>
  <si>
    <t>KIERTOAIKA, SEN TUOTOT JA KUSTANNUKSET</t>
  </si>
  <si>
    <t>DISKONTTAUSTEKIJÄ</t>
  </si>
  <si>
    <t>DISKONTATUT TUOTOT JA KUSTANNUKSET</t>
  </si>
  <si>
    <t>Tässä sarakkeessa on kiertoajan lopussa tuleva tuotos</t>
  </si>
  <si>
    <t>NETTONYKYARVO</t>
  </si>
  <si>
    <t>NNA1_3</t>
  </si>
  <si>
    <t>PALJAAN MAAN ARVO</t>
  </si>
  <si>
    <r>
      <t>NNA4_</t>
    </r>
    <r>
      <rPr>
        <sz val="11"/>
        <rFont val="Aptos Narrow"/>
        <family val="2"/>
      </rPr>
      <t>∞</t>
    </r>
  </si>
  <si>
    <r>
      <t>PMA4_</t>
    </r>
    <r>
      <rPr>
        <sz val="11"/>
        <rFont val="Aptos Narrow"/>
        <family val="2"/>
      </rPr>
      <t>∞</t>
    </r>
  </si>
  <si>
    <t>V(T) laskeminen</t>
  </si>
  <si>
    <t>Ensimmäinen kiertoaika + VT joka alkaa vasta vuonna 10</t>
  </si>
  <si>
    <t>Tulevien kiertojen nettonykyarvo kun vuoden 0 kustannus ei tapahdu seuraavassa kierrossa</t>
  </si>
  <si>
    <t>Ruokohelpipaalit suon laidalla, kevätkorjuu</t>
  </si>
  <si>
    <t>Paalit suon laidalla</t>
  </si>
  <si>
    <t>Ruokohelpipaalit suon laidalla, kevätkorjuu 10 v</t>
  </si>
  <si>
    <t>Ruokohelpipaalit suon laidalla, kevätkorjuu 5 v</t>
  </si>
  <si>
    <t>Täytä tuotteen hintaoletus</t>
  </si>
  <si>
    <t>Pajuhake käyttöpaikalla (esim. biohiilen raaka-aineeksi)</t>
  </si>
  <si>
    <t>Ruokohelpi biokaasusyötteeksi käyttöpaikalla</t>
  </si>
  <si>
    <t>Ruokohelpikuivike käyttöpaikalla</t>
  </si>
  <si>
    <t>Ruokohelpi kasvualustamateriaaliksi satamassa</t>
  </si>
  <si>
    <t>Kuituhamppu käyttöpaikalla</t>
  </si>
  <si>
    <t>(1 kuivatonni vastaa noin 2,9 kiintokuutiometriä)</t>
  </si>
  <si>
    <r>
      <t>Ruokohelpi kuivikkeeksi tai kasvualustaksi, kevätkorjuu</t>
    </r>
    <r>
      <rPr>
        <sz val="11"/>
        <color theme="1"/>
        <rFont val="Aptos Narrow"/>
        <family val="2"/>
        <scheme val="minor"/>
      </rPr>
      <t xml:space="preserve">: Edellisvuoden kasvusto niitetään ja karhotetaan keväällä. Karheiden kuivahdettua sato paalataan pyörö- tai kanttipaaleihin. Paalit kääritään yksittäin muoviin tai varastoidaan suon laidassa pressujen alla. Paalit kuljetetaan 20 km:n päässä olevalle tilalle kuivikekäyttöön traktorilla tai kasvualustakäyttöön rekalla 220 km:n päähän. Kevätkorjatulla ruokohelvellä voidaan tarkastella myös kiertoajan (5 tai 10 v) vaikutusta kannattavuuteen. Tällöin kustannukset eivät sisällä paalien kaukokuljetusta. </t>
    </r>
  </si>
  <si>
    <t>diskonttaamaton PMA</t>
  </si>
  <si>
    <t>diskontattu PPMA</t>
  </si>
  <si>
    <t>http://urn.fi/URN:ISBN:978-952-419-157-9</t>
  </si>
  <si>
    <t>Laskentaoletukset on kuvattu yksityiskohtaisesti julkaisussa Jylhä, P., Aro, L., Knuuttila, M., Lötjönen, T., Ukonmaanaho, L., &amp; Wejberg, H. 2026. Turve-tuotantoalueiden jatkokäyttö : Kannattavuus, aluetalous- ja ympäristövaikutukset. Luon-nonvara- ja biotalouden tutkimus 11/2026. Luonnonvarakeskus. 78 s. Julkaisu on ladattavissa osoitteesta:</t>
  </si>
  <si>
    <t xml:space="preserve">Laskurin kehittämisehdotuksia ottaa vastaan paula.jylha(at)luke.fi.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</si>
</sst>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6" formatCode="#,##0\ &quot;€&quot;;[Red]\-#,##0\ &quot;€&quot;"/>
    <numFmt numFmtId="8" formatCode="#,##0.00\ &quot;€&quot;;[Red]\-#,##0.00\ &quot;€&quot;"/>
    <numFmt numFmtId="164" formatCode="0.0"/>
    <numFmt numFmtId="165" formatCode="#,##0\ &quot;€&quot;"/>
    <numFmt numFmtId="166" formatCode="_([$€-2]\ * #,##0.00_);_([$€-2]\ * \(#,##0.00\);_([$€-2]\ * &quot;-&quot;??_);_(@_)"/>
  </numFmts>
  <fonts count="19" x14ac:knownFonts="1">
    <font>
      <sz val="11"/>
      <color theme="1"/>
      <name val="Aptos Narrow"/>
      <family val="2"/>
      <scheme val="minor"/>
    </font>
    <font>
      <b/>
      <sz val="11"/>
      <color theme="1"/>
      <name val="Aptos Narrow"/>
      <family val="2"/>
      <scheme val="minor"/>
    </font>
    <font>
      <sz val="11"/>
      <color theme="1" tint="4.9989318521683403E-2"/>
      <name val="Aptos Narrow"/>
      <family val="2"/>
      <scheme val="minor"/>
    </font>
    <font>
      <sz val="11"/>
      <color theme="1"/>
      <name val="Aptos Narrow"/>
      <family val="2"/>
      <scheme val="minor"/>
    </font>
    <font>
      <sz val="26"/>
      <color theme="1"/>
      <name val="Aptos Narrow"/>
      <family val="2"/>
      <scheme val="minor"/>
    </font>
    <font>
      <sz val="11"/>
      <name val="Aptos Narrow"/>
      <family val="2"/>
      <scheme val="minor"/>
    </font>
    <font>
      <b/>
      <sz val="11"/>
      <name val="Aptos Narrow"/>
      <family val="2"/>
      <scheme val="minor"/>
    </font>
    <font>
      <sz val="11"/>
      <name val="Aptos"/>
      <family val="2"/>
    </font>
    <font>
      <b/>
      <sz val="26"/>
      <color theme="1"/>
      <name val="Aptos Narrow"/>
      <family val="2"/>
      <scheme val="minor"/>
    </font>
    <font>
      <sz val="12"/>
      <color rgb="FF000000"/>
      <name val="Aptos"/>
      <family val="2"/>
    </font>
    <font>
      <sz val="11"/>
      <color rgb="FFFF0000"/>
      <name val="Aptos Narrow"/>
      <family val="2"/>
      <scheme val="minor"/>
    </font>
    <font>
      <strike/>
      <sz val="11"/>
      <name val="Aptos Narrow"/>
      <family val="2"/>
      <scheme val="minor"/>
    </font>
    <font>
      <sz val="11"/>
      <name val="Aptos Narrow"/>
      <family val="2"/>
    </font>
    <font>
      <sz val="10"/>
      <color theme="1"/>
      <name val="Aptos Narrow"/>
      <family val="2"/>
      <scheme val="minor"/>
    </font>
    <font>
      <sz val="11"/>
      <color theme="1"/>
      <name val="Aptos Narrow"/>
      <family val="2"/>
    </font>
    <font>
      <b/>
      <sz val="11"/>
      <color rgb="FF000000"/>
      <name val="Aptos Narrow"/>
      <family val="2"/>
    </font>
    <font>
      <b/>
      <vertAlign val="subscript"/>
      <sz val="11"/>
      <color rgb="FF000000"/>
      <name val="Aptos Narrow"/>
      <family val="2"/>
    </font>
    <font>
      <u/>
      <sz val="11"/>
      <color theme="10"/>
      <name val="Aptos Narrow"/>
      <family val="2"/>
      <scheme val="minor"/>
    </font>
    <font>
      <b/>
      <sz val="14"/>
      <color theme="1"/>
      <name val="Aptos Narrow"/>
      <family val="2"/>
      <scheme val="minor"/>
    </font>
  </fonts>
  <fills count="7">
    <fill>
      <patternFill patternType="none"/>
    </fill>
    <fill>
      <patternFill patternType="gray125"/>
    </fill>
    <fill>
      <patternFill patternType="solid">
        <fgColor rgb="FFFFFF00"/>
        <bgColor indexed="64"/>
      </patternFill>
    </fill>
    <fill>
      <patternFill patternType="solid">
        <fgColor theme="0"/>
        <bgColor indexed="64"/>
      </patternFill>
    </fill>
    <fill>
      <patternFill patternType="solid">
        <fgColor theme="2"/>
        <bgColor indexed="64"/>
      </patternFill>
    </fill>
    <fill>
      <patternFill patternType="solid">
        <fgColor theme="0" tint="-0.34998626667073579"/>
        <bgColor indexed="64"/>
      </patternFill>
    </fill>
    <fill>
      <patternFill patternType="solid">
        <fgColor theme="3" tint="0.89999084444715716"/>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top/>
      <bottom style="thin">
        <color indexed="64"/>
      </bottom>
      <diagonal/>
    </border>
  </borders>
  <cellStyleXfs count="3">
    <xf numFmtId="0" fontId="0" fillId="0" borderId="0"/>
    <xf numFmtId="9" fontId="3" fillId="0" borderId="0" applyFont="0" applyFill="0" applyBorder="0" applyAlignment="0" applyProtection="0"/>
    <xf numFmtId="0" fontId="17" fillId="0" borderId="0" applyNumberFormat="0" applyFill="0" applyBorder="0" applyAlignment="0" applyProtection="0"/>
  </cellStyleXfs>
  <cellXfs count="92">
    <xf numFmtId="0" fontId="0" fillId="0" borderId="0" xfId="0"/>
    <xf numFmtId="0" fontId="0" fillId="3" borderId="0" xfId="0" applyFill="1" applyProtection="1">
      <protection hidden="1"/>
    </xf>
    <xf numFmtId="0" fontId="1" fillId="3" borderId="0" xfId="0" applyFont="1" applyFill="1" applyProtection="1">
      <protection hidden="1"/>
    </xf>
    <xf numFmtId="0" fontId="4" fillId="3" borderId="0" xfId="0" applyFont="1" applyFill="1" applyProtection="1">
      <protection hidden="1"/>
    </xf>
    <xf numFmtId="0" fontId="1" fillId="3" borderId="0" xfId="0" applyFont="1" applyFill="1" applyAlignment="1" applyProtection="1">
      <alignment wrapText="1"/>
      <protection hidden="1"/>
    </xf>
    <xf numFmtId="0" fontId="2" fillId="2" borderId="1" xfId="0" applyFont="1" applyFill="1" applyBorder="1" applyProtection="1">
      <protection locked="0" hidden="1"/>
    </xf>
    <xf numFmtId="0" fontId="5" fillId="3" borderId="0" xfId="0" applyFont="1" applyFill="1"/>
    <xf numFmtId="0" fontId="5" fillId="3" borderId="1" xfId="0" applyFont="1" applyFill="1" applyBorder="1"/>
    <xf numFmtId="9" fontId="5" fillId="3" borderId="1" xfId="1" applyFont="1" applyFill="1" applyBorder="1"/>
    <xf numFmtId="0" fontId="6" fillId="3" borderId="0" xfId="0" applyFont="1" applyFill="1"/>
    <xf numFmtId="1" fontId="5" fillId="3" borderId="0" xfId="0" applyNumberFormat="1" applyFont="1" applyFill="1"/>
    <xf numFmtId="0" fontId="6" fillId="3" borderId="0" xfId="0" applyFont="1" applyFill="1" applyAlignment="1">
      <alignment horizontal="center"/>
    </xf>
    <xf numFmtId="0" fontId="5" fillId="3" borderId="0" xfId="0" applyFont="1" applyFill="1" applyAlignment="1">
      <alignment horizontal="center"/>
    </xf>
    <xf numFmtId="10" fontId="5" fillId="3" borderId="0" xfId="0" applyNumberFormat="1" applyFont="1" applyFill="1"/>
    <xf numFmtId="8" fontId="5" fillId="3" borderId="0" xfId="0" applyNumberFormat="1" applyFont="1" applyFill="1"/>
    <xf numFmtId="0" fontId="5" fillId="3" borderId="0" xfId="0" applyFont="1" applyFill="1" applyAlignment="1">
      <alignment wrapText="1"/>
    </xf>
    <xf numFmtId="9" fontId="5" fillId="3" borderId="0" xfId="0" applyNumberFormat="1" applyFont="1" applyFill="1"/>
    <xf numFmtId="0" fontId="7" fillId="3" borderId="0" xfId="0" applyFont="1" applyFill="1"/>
    <xf numFmtId="164" fontId="5" fillId="3" borderId="0" xfId="0" applyNumberFormat="1" applyFont="1" applyFill="1"/>
    <xf numFmtId="6" fontId="5" fillId="3" borderId="0" xfId="0" applyNumberFormat="1" applyFont="1" applyFill="1"/>
    <xf numFmtId="165" fontId="5" fillId="3" borderId="0" xfId="0" applyNumberFormat="1" applyFont="1" applyFill="1"/>
    <xf numFmtId="0" fontId="1" fillId="0" borderId="0" xfId="0" applyFont="1" applyProtection="1">
      <protection hidden="1"/>
    </xf>
    <xf numFmtId="0" fontId="8" fillId="3" borderId="0" xfId="0" applyFont="1" applyFill="1" applyProtection="1">
      <protection hidden="1"/>
    </xf>
    <xf numFmtId="0" fontId="0" fillId="0" borderId="0" xfId="0" applyProtection="1">
      <protection hidden="1"/>
    </xf>
    <xf numFmtId="0" fontId="0" fillId="2" borderId="1" xfId="0" applyFill="1" applyBorder="1" applyProtection="1">
      <protection locked="0" hidden="1"/>
    </xf>
    <xf numFmtId="9" fontId="0" fillId="2" borderId="1" xfId="0" applyNumberFormat="1" applyFill="1" applyBorder="1" applyProtection="1">
      <protection locked="0" hidden="1"/>
    </xf>
    <xf numFmtId="9" fontId="0" fillId="0" borderId="0" xfId="0" applyNumberFormat="1" applyProtection="1">
      <protection locked="0" hidden="1"/>
    </xf>
    <xf numFmtId="2" fontId="0" fillId="3" borderId="0" xfId="0" applyNumberFormat="1" applyFill="1" applyAlignment="1" applyProtection="1">
      <alignment horizontal="center"/>
      <protection hidden="1"/>
    </xf>
    <xf numFmtId="166" fontId="0" fillId="3" borderId="0" xfId="0" applyNumberFormat="1" applyFill="1" applyAlignment="1" applyProtection="1">
      <alignment horizontal="center"/>
      <protection hidden="1"/>
    </xf>
    <xf numFmtId="9" fontId="0" fillId="3" borderId="0" xfId="0" applyNumberFormat="1" applyFill="1" applyProtection="1">
      <protection hidden="1"/>
    </xf>
    <xf numFmtId="6" fontId="0" fillId="3" borderId="0" xfId="0" applyNumberFormat="1" applyFill="1" applyProtection="1">
      <protection hidden="1"/>
    </xf>
    <xf numFmtId="165" fontId="0" fillId="3" borderId="0" xfId="0" applyNumberFormat="1" applyFill="1" applyProtection="1">
      <protection hidden="1"/>
    </xf>
    <xf numFmtId="2" fontId="0" fillId="3" borderId="0" xfId="0" applyNumberFormat="1" applyFill="1" applyProtection="1">
      <protection hidden="1"/>
    </xf>
    <xf numFmtId="1" fontId="0" fillId="3" borderId="0" xfId="0" applyNumberFormat="1" applyFill="1" applyProtection="1">
      <protection hidden="1"/>
    </xf>
    <xf numFmtId="1" fontId="0" fillId="2" borderId="1" xfId="0" applyNumberFormat="1" applyFill="1" applyBorder="1" applyProtection="1">
      <protection locked="0" hidden="1"/>
    </xf>
    <xf numFmtId="0" fontId="0" fillId="3" borderId="0" xfId="0" applyFill="1" applyAlignment="1" applyProtection="1">
      <alignment vertical="center"/>
      <protection hidden="1"/>
    </xf>
    <xf numFmtId="0" fontId="9" fillId="0" borderId="0" xfId="0" applyFont="1"/>
    <xf numFmtId="0" fontId="10" fillId="3" borderId="0" xfId="0" applyFont="1" applyFill="1"/>
    <xf numFmtId="1" fontId="10" fillId="3" borderId="0" xfId="0" applyNumberFormat="1" applyFont="1" applyFill="1"/>
    <xf numFmtId="0" fontId="5" fillId="0" borderId="0" xfId="0" applyFont="1"/>
    <xf numFmtId="1" fontId="5" fillId="0" borderId="0" xfId="0" applyNumberFormat="1" applyFont="1"/>
    <xf numFmtId="0" fontId="5" fillId="3" borderId="3" xfId="0" applyFont="1" applyFill="1" applyBorder="1"/>
    <xf numFmtId="1" fontId="5" fillId="3" borderId="3" xfId="0" applyNumberFormat="1" applyFont="1" applyFill="1" applyBorder="1"/>
    <xf numFmtId="1" fontId="10" fillId="3" borderId="3" xfId="0" applyNumberFormat="1" applyFont="1" applyFill="1" applyBorder="1"/>
    <xf numFmtId="0" fontId="5" fillId="4" borderId="0" xfId="0" applyFont="1" applyFill="1"/>
    <xf numFmtId="1" fontId="5" fillId="4" borderId="0" xfId="0" applyNumberFormat="1" applyFont="1" applyFill="1"/>
    <xf numFmtId="0" fontId="5" fillId="5" borderId="0" xfId="0" applyFont="1" applyFill="1"/>
    <xf numFmtId="1" fontId="5" fillId="5" borderId="0" xfId="0" applyNumberFormat="1" applyFont="1" applyFill="1"/>
    <xf numFmtId="1" fontId="10" fillId="5" borderId="0" xfId="0" applyNumberFormat="1" applyFont="1" applyFill="1"/>
    <xf numFmtId="0" fontId="11" fillId="3" borderId="0" xfId="0" applyFont="1" applyFill="1"/>
    <xf numFmtId="1" fontId="11" fillId="3" borderId="0" xfId="0" applyNumberFormat="1" applyFont="1" applyFill="1"/>
    <xf numFmtId="1" fontId="10" fillId="2" borderId="0" xfId="0" applyNumberFormat="1" applyFont="1" applyFill="1"/>
    <xf numFmtId="1" fontId="6" fillId="3" borderId="0" xfId="0" applyNumberFormat="1" applyFont="1" applyFill="1"/>
    <xf numFmtId="1" fontId="6" fillId="3" borderId="0" xfId="0" applyNumberFormat="1" applyFont="1" applyFill="1" applyAlignment="1">
      <alignment horizontal="center"/>
    </xf>
    <xf numFmtId="1" fontId="5" fillId="3" borderId="0" xfId="0" applyNumberFormat="1" applyFont="1" applyFill="1" applyAlignment="1">
      <alignment horizontal="center"/>
    </xf>
    <xf numFmtId="1" fontId="5" fillId="5" borderId="0" xfId="0" applyNumberFormat="1" applyFont="1" applyFill="1" applyAlignment="1">
      <alignment horizontal="center"/>
    </xf>
    <xf numFmtId="1" fontId="11" fillId="3" borderId="0" xfId="0" applyNumberFormat="1" applyFont="1" applyFill="1" applyAlignment="1">
      <alignment horizontal="center"/>
    </xf>
    <xf numFmtId="1" fontId="5" fillId="3" borderId="3" xfId="0" applyNumberFormat="1" applyFont="1" applyFill="1" applyBorder="1" applyAlignment="1">
      <alignment horizontal="center"/>
    </xf>
    <xf numFmtId="1" fontId="6" fillId="3" borderId="0" xfId="0" applyNumberFormat="1" applyFont="1" applyFill="1" applyAlignment="1">
      <alignment horizontal="right"/>
    </xf>
    <xf numFmtId="1" fontId="1" fillId="3" borderId="0" xfId="0" applyNumberFormat="1" applyFont="1" applyFill="1" applyProtection="1">
      <protection hidden="1"/>
    </xf>
    <xf numFmtId="0" fontId="0" fillId="0" borderId="0" xfId="0" applyAlignment="1">
      <alignment vertical="center"/>
    </xf>
    <xf numFmtId="0" fontId="0" fillId="0" borderId="0" xfId="0" applyAlignment="1">
      <alignment wrapText="1"/>
    </xf>
    <xf numFmtId="0" fontId="1" fillId="0" borderId="0" xfId="0" applyFont="1" applyAlignment="1">
      <alignment wrapText="1"/>
    </xf>
    <xf numFmtId="0" fontId="0" fillId="0" borderId="0" xfId="0" applyAlignment="1">
      <alignment vertical="center" wrapText="1"/>
    </xf>
    <xf numFmtId="0" fontId="1" fillId="0" borderId="0" xfId="0" applyFont="1" applyAlignment="1">
      <alignment vertical="center" wrapText="1"/>
    </xf>
    <xf numFmtId="0" fontId="13" fillId="0" borderId="0" xfId="0" applyFont="1" applyAlignment="1">
      <alignment wrapText="1"/>
    </xf>
    <xf numFmtId="1" fontId="0" fillId="6" borderId="1" xfId="0" applyNumberFormat="1" applyFill="1" applyBorder="1" applyProtection="1">
      <protection hidden="1"/>
    </xf>
    <xf numFmtId="0" fontId="0" fillId="6" borderId="1" xfId="0" applyFill="1" applyBorder="1" applyProtection="1">
      <protection hidden="1"/>
    </xf>
    <xf numFmtId="6" fontId="0" fillId="6" borderId="1" xfId="0" applyNumberFormat="1" applyFill="1" applyBorder="1" applyProtection="1">
      <protection hidden="1"/>
    </xf>
    <xf numFmtId="0" fontId="15" fillId="3" borderId="0" xfId="0" applyFont="1" applyFill="1" applyProtection="1">
      <protection hidden="1"/>
    </xf>
    <xf numFmtId="0" fontId="0" fillId="0" borderId="0" xfId="0" applyAlignment="1">
      <alignment horizontal="left"/>
    </xf>
    <xf numFmtId="0" fontId="5" fillId="2" borderId="0" xfId="0" applyFont="1" applyFill="1"/>
    <xf numFmtId="1" fontId="5" fillId="2" borderId="0" xfId="0" applyNumberFormat="1" applyFont="1" applyFill="1"/>
    <xf numFmtId="0" fontId="0" fillId="3" borderId="0" xfId="0" applyFont="1" applyFill="1" applyProtection="1">
      <protection hidden="1"/>
    </xf>
    <xf numFmtId="2" fontId="0" fillId="3" borderId="0" xfId="0" applyNumberFormat="1" applyFont="1" applyFill="1" applyAlignment="1" applyProtection="1">
      <alignment horizontal="center"/>
      <protection hidden="1"/>
    </xf>
    <xf numFmtId="166" fontId="0" fillId="3" borderId="0" xfId="0" applyNumberFormat="1" applyFont="1" applyFill="1" applyAlignment="1" applyProtection="1">
      <alignment horizontal="center"/>
      <protection hidden="1"/>
    </xf>
    <xf numFmtId="9" fontId="0" fillId="3" borderId="0" xfId="0" applyNumberFormat="1" applyFont="1" applyFill="1" applyProtection="1">
      <protection hidden="1"/>
    </xf>
    <xf numFmtId="165" fontId="0" fillId="3" borderId="0" xfId="0" applyNumberFormat="1" applyFont="1" applyFill="1" applyProtection="1">
      <protection hidden="1"/>
    </xf>
    <xf numFmtId="0" fontId="5" fillId="0" borderId="0" xfId="0" applyFont="1" applyFill="1"/>
    <xf numFmtId="0" fontId="0" fillId="0" borderId="0" xfId="0" applyFill="1" applyProtection="1">
      <protection hidden="1"/>
    </xf>
    <xf numFmtId="0" fontId="0" fillId="0" borderId="0" xfId="0" applyFont="1" applyFill="1" applyProtection="1">
      <protection hidden="1"/>
    </xf>
    <xf numFmtId="1" fontId="0" fillId="6" borderId="1" xfId="0" applyNumberFormat="1" applyFont="1" applyFill="1" applyBorder="1" applyProtection="1">
      <protection hidden="1"/>
    </xf>
    <xf numFmtId="0" fontId="1" fillId="6" borderId="1" xfId="0" applyFont="1" applyFill="1" applyBorder="1" applyAlignment="1" applyProtection="1">
      <alignment vertical="center"/>
      <protection hidden="1"/>
    </xf>
    <xf numFmtId="0" fontId="1" fillId="6" borderId="1" xfId="0" applyFont="1" applyFill="1" applyBorder="1" applyProtection="1">
      <protection hidden="1"/>
    </xf>
    <xf numFmtId="0" fontId="17" fillId="0" borderId="0" xfId="2" applyAlignment="1">
      <alignment wrapText="1"/>
    </xf>
    <xf numFmtId="0" fontId="0" fillId="0" borderId="0" xfId="0" applyAlignment="1">
      <alignment vertical="top" wrapText="1"/>
    </xf>
    <xf numFmtId="0" fontId="18" fillId="0" borderId="0" xfId="0" applyFont="1"/>
    <xf numFmtId="0" fontId="17" fillId="0" borderId="0" xfId="2" applyAlignment="1" applyProtection="1">
      <alignment wrapText="1"/>
      <protection locked="0"/>
    </xf>
    <xf numFmtId="0" fontId="13" fillId="0" borderId="0" xfId="0" applyFont="1"/>
    <xf numFmtId="0" fontId="0" fillId="0" borderId="0" xfId="0" applyAlignment="1" applyProtection="1">
      <alignment horizontal="left" vertical="top" wrapText="1"/>
      <protection hidden="1"/>
    </xf>
    <xf numFmtId="0" fontId="0" fillId="3" borderId="2" xfId="0" applyFill="1" applyBorder="1" applyAlignment="1" applyProtection="1">
      <alignment horizontal="left" vertical="top" wrapText="1"/>
      <protection hidden="1"/>
    </xf>
    <xf numFmtId="0" fontId="0" fillId="3" borderId="0" xfId="0" applyFill="1" applyAlignment="1" applyProtection="1">
      <alignment horizontal="left" vertical="top" wrapText="1"/>
      <protection hidden="1"/>
    </xf>
  </cellXfs>
  <cellStyles count="3">
    <cellStyle name="Hyperlinkki" xfId="2" builtinId="8"/>
    <cellStyle name="Normaali" xfId="0" builtinId="0"/>
    <cellStyle name="Prosenttia" xfId="1" builtinId="5"/>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eetMetadata" Target="metadata.xml"/><Relationship Id="rId3" Type="http://schemas.openxmlformats.org/officeDocument/2006/relationships/worksheet" Target="worksheets/sheet3.xml"/><Relationship Id="rId21" Type="http://schemas.openxmlformats.org/officeDocument/2006/relationships/customXml" Target="../customXml/item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20"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absolute">
    <xdr:from>
      <xdr:col>0</xdr:col>
      <xdr:colOff>0</xdr:colOff>
      <xdr:row>7</xdr:row>
      <xdr:rowOff>76200</xdr:rowOff>
    </xdr:from>
    <xdr:to>
      <xdr:col>6</xdr:col>
      <xdr:colOff>1166562</xdr:colOff>
      <xdr:row>8</xdr:row>
      <xdr:rowOff>3922959</xdr:rowOff>
    </xdr:to>
    <xdr:sp macro="" textlink="">
      <xdr:nvSpPr>
        <xdr:cNvPr id="5" name="Tekstiruutu 1">
          <a:extLst>
            <a:ext uri="{FF2B5EF4-FFF2-40B4-BE49-F238E27FC236}">
              <a16:creationId xmlns:a16="http://schemas.microsoft.com/office/drawing/2014/main" id="{3E2E9A68-AF2B-FEB1-655F-413052151B62}"/>
            </a:ext>
          </a:extLst>
        </xdr:cNvPr>
        <xdr:cNvSpPr txBox="1"/>
      </xdr:nvSpPr>
      <xdr:spPr>
        <a:xfrm>
          <a:off x="0" y="1660358"/>
          <a:ext cx="9077325" cy="4037259"/>
        </a:xfrm>
        <a:prstGeom prst="rect">
          <a:avLst/>
        </a:prstGeom>
        <a:solidFill>
          <a:schemeClr val="tx2">
            <a:lumMod val="10000"/>
            <a:lumOff val="90000"/>
          </a:schemeClr>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fi-FI" sz="1400" b="1" i="1">
              <a:solidFill>
                <a:schemeClr val="tx1"/>
              </a:solidFill>
              <a:effectLst/>
              <a:latin typeface="+mn-lt"/>
              <a:ea typeface="+mn-ea"/>
              <a:cs typeface="+mn-cs"/>
            </a:rPr>
            <a:t>Investoinnin nettonykyarvo </a:t>
          </a:r>
          <a:r>
            <a:rPr lang="fi-FI" sz="1400">
              <a:solidFill>
                <a:schemeClr val="tx1"/>
              </a:solidFill>
              <a:effectLst/>
              <a:latin typeface="+mn-lt"/>
              <a:ea typeface="+mn-ea"/>
              <a:cs typeface="+mn-cs"/>
            </a:rPr>
            <a:t>on tulo- ja menovirtojen nykyarvojen erotus. Kun nettonykyarvo on positiivinen, investointi on kannattava. </a:t>
          </a:r>
          <a:r>
            <a:rPr lang="fi-FI" sz="1400" b="1" i="1">
              <a:solidFill>
                <a:schemeClr val="tx1"/>
              </a:solidFill>
              <a:effectLst/>
              <a:latin typeface="+mn-lt"/>
              <a:ea typeface="+mn-ea"/>
              <a:cs typeface="+mn-cs"/>
            </a:rPr>
            <a:t>Paljaan maan arvon </a:t>
          </a:r>
          <a:r>
            <a:rPr lang="fi-FI" sz="1400">
              <a:solidFill>
                <a:schemeClr val="tx1"/>
              </a:solidFill>
              <a:effectLst/>
              <a:latin typeface="+mn-lt"/>
              <a:ea typeface="+mn-ea"/>
              <a:cs typeface="+mn-cs"/>
            </a:rPr>
            <a:t>avulla voidaan arvioida, kuinka paljon maasta kannattaisi maksaa, jos samaa tuotantoketjua toistettaisiin loputtomasti. Maasta kannattaa</a:t>
          </a:r>
          <a:r>
            <a:rPr lang="fi-FI" sz="1400" baseline="0">
              <a:solidFill>
                <a:schemeClr val="tx1"/>
              </a:solidFill>
              <a:effectLst/>
              <a:latin typeface="+mn-lt"/>
              <a:ea typeface="+mn-ea"/>
              <a:cs typeface="+mn-cs"/>
            </a:rPr>
            <a:t> maksaa korkeintaan paljaan maan arvon verran, jos </a:t>
          </a:r>
          <a:r>
            <a:rPr lang="fi-FI" sz="1400">
              <a:solidFill>
                <a:schemeClr val="tx1"/>
              </a:solidFill>
              <a:effectLst/>
              <a:latin typeface="+mn-lt"/>
              <a:ea typeface="+mn-ea"/>
              <a:cs typeface="+mn-cs"/>
            </a:rPr>
            <a:t>haluaa</a:t>
          </a:r>
          <a:r>
            <a:rPr lang="fi-FI" sz="1400" baseline="0">
              <a:solidFill>
                <a:schemeClr val="tx1"/>
              </a:solidFill>
              <a:effectLst/>
              <a:latin typeface="+mn-lt"/>
              <a:ea typeface="+mn-ea"/>
              <a:cs typeface="+mn-cs"/>
            </a:rPr>
            <a:t> oletetun koron mukaisen tuoton investoinnille.</a:t>
          </a:r>
          <a:r>
            <a:rPr lang="fi-FI" sz="1400">
              <a:solidFill>
                <a:schemeClr val="tx1"/>
              </a:solidFill>
              <a:effectLst/>
              <a:latin typeface="+mn-lt"/>
              <a:ea typeface="+mn-ea"/>
              <a:cs typeface="+mn-cs"/>
            </a:rPr>
            <a:t> Paljaan maan arvon perusteella voidaan vertailla kestoltaan erilaisten hankkeiden kannattavuutta. Laskurissa o</a:t>
          </a:r>
          <a:r>
            <a:rPr lang="fi-FI" sz="1400" baseline="0">
              <a:solidFill>
                <a:schemeClr val="tx1"/>
              </a:solidFill>
              <a:effectLst/>
              <a:latin typeface="+mn-lt"/>
              <a:ea typeface="+mn-ea"/>
              <a:cs typeface="+mn-cs"/>
            </a:rPr>
            <a:t>letetut tuotantoketjut on kuvattu pääpiirteittäin Tuotantoketjut-välilehdellä.</a:t>
          </a:r>
          <a:endParaRPr lang="fi-FI" sz="1400">
            <a:solidFill>
              <a:schemeClr val="tx1"/>
            </a:solidFill>
            <a:effectLst/>
            <a:latin typeface="+mn-lt"/>
            <a:ea typeface="+mn-ea"/>
            <a:cs typeface="+mn-cs"/>
          </a:endParaRPr>
        </a:p>
        <a:p>
          <a:endParaRPr lang="fi-FI" sz="1400">
            <a:effectLst/>
          </a:endParaRPr>
        </a:p>
        <a:p>
          <a:r>
            <a:rPr lang="fi-FI" sz="1400">
              <a:solidFill>
                <a:schemeClr val="tx1"/>
              </a:solidFill>
              <a:effectLst/>
              <a:latin typeface="+mn-lt"/>
              <a:ea typeface="+mn-ea"/>
              <a:cs typeface="+mn-cs"/>
            </a:rPr>
            <a:t>Laskuriin syötetään pajuhakkeen</a:t>
          </a:r>
          <a:r>
            <a:rPr lang="fi-FI" sz="1400" baseline="0">
              <a:solidFill>
                <a:schemeClr val="tx1"/>
              </a:solidFill>
              <a:effectLst/>
              <a:latin typeface="+mn-lt"/>
              <a:ea typeface="+mn-ea"/>
              <a:cs typeface="+mn-cs"/>
            </a:rPr>
            <a:t> sekä ruokohelven ja pajun </a:t>
          </a:r>
          <a:r>
            <a:rPr lang="fi-FI" sz="1400">
              <a:solidFill>
                <a:schemeClr val="tx1"/>
              </a:solidFill>
              <a:effectLst/>
              <a:latin typeface="+mn-lt"/>
              <a:ea typeface="+mn-ea"/>
              <a:cs typeface="+mn-cs"/>
            </a:rPr>
            <a:t>biomassatuotos- ja hintaoletukset sekä asetetaan laskentakorko (1</a:t>
          </a:r>
          <a:r>
            <a:rPr lang="fi-FI" sz="1400">
              <a:solidFill>
                <a:schemeClr val="tx1"/>
              </a:solidFill>
              <a:effectLst/>
              <a:latin typeface="Aptos Narrow" panose="020B0004020202020204" pitchFamily="34" charset="0"/>
              <a:ea typeface="+mn-ea"/>
              <a:cs typeface="+mn-cs"/>
            </a:rPr>
            <a:t>–</a:t>
          </a:r>
          <a:r>
            <a:rPr lang="fi-FI" sz="1400" baseline="0">
              <a:solidFill>
                <a:schemeClr val="tx1"/>
              </a:solidFill>
              <a:effectLst/>
              <a:latin typeface="+mn-lt"/>
              <a:ea typeface="+mn-ea"/>
              <a:cs typeface="+mn-cs"/>
            </a:rPr>
            <a:t>8 %) </a:t>
          </a:r>
          <a:r>
            <a:rPr lang="fi-FI" sz="1400">
              <a:solidFill>
                <a:schemeClr val="tx1"/>
              </a:solidFill>
              <a:effectLst/>
              <a:latin typeface="+mn-lt"/>
              <a:ea typeface="+mn-ea"/>
              <a:cs typeface="+mn-cs"/>
            </a:rPr>
            <a:t>keltaisiin soluihin. Tämän jälkeen tarkasteltavien kasvien </a:t>
          </a:r>
          <a:r>
            <a:rPr lang="fi-FI" sz="1400" baseline="0">
              <a:solidFill>
                <a:schemeClr val="tx1"/>
              </a:solidFill>
              <a:effectLst/>
              <a:latin typeface="+mn-lt"/>
              <a:ea typeface="+mn-ea"/>
              <a:cs typeface="+mn-cs"/>
            </a:rPr>
            <a:t>tuotannon kannattavuutta voidaan verrata sinisiin soluihin tulevien tunnuslukujen avulla. </a:t>
          </a:r>
        </a:p>
        <a:p>
          <a:endParaRPr lang="fi-FI" sz="1400" baseline="0">
            <a:solidFill>
              <a:schemeClr val="tx1"/>
            </a:solidFill>
            <a:effectLst/>
            <a:latin typeface="+mn-lt"/>
            <a:ea typeface="+mn-ea"/>
            <a:cs typeface="+mn-cs"/>
          </a:endParaRPr>
        </a:p>
        <a:p>
          <a:r>
            <a:rPr lang="fi-FI" sz="1400" baseline="0">
              <a:solidFill>
                <a:schemeClr val="tx1"/>
              </a:solidFill>
              <a:effectLst/>
              <a:latin typeface="+mn-lt"/>
              <a:ea typeface="+mn-ea"/>
              <a:cs typeface="+mn-cs"/>
            </a:rPr>
            <a:t>L</a:t>
          </a:r>
          <a:r>
            <a:rPr lang="fi-FI" sz="1400">
              <a:solidFill>
                <a:schemeClr val="tx1"/>
              </a:solidFill>
              <a:effectLst/>
              <a:latin typeface="+mn-lt"/>
              <a:ea typeface="+mn-ea"/>
              <a:cs typeface="+mn-cs"/>
            </a:rPr>
            <a:t>uontaisesti</a:t>
          </a:r>
          <a:r>
            <a:rPr lang="fi-FI" sz="1400" baseline="0">
              <a:solidFill>
                <a:schemeClr val="tx1"/>
              </a:solidFill>
              <a:effectLst/>
              <a:latin typeface="+mn-lt"/>
              <a:ea typeface="+mn-ea"/>
              <a:cs typeface="+mn-cs"/>
            </a:rPr>
            <a:t> syntyneiden ja h</a:t>
          </a:r>
          <a:r>
            <a:rPr lang="fi-FI" sz="1400">
              <a:solidFill>
                <a:schemeClr val="tx1"/>
              </a:solidFill>
              <a:effectLst/>
              <a:latin typeface="+mn-lt"/>
              <a:ea typeface="+mn-ea"/>
              <a:cs typeface="+mn-cs"/>
            </a:rPr>
            <a:t>arventamatta kasvatettavien</a:t>
          </a:r>
          <a:r>
            <a:rPr lang="fi-FI" sz="1400" baseline="0">
              <a:solidFill>
                <a:schemeClr val="tx1"/>
              </a:solidFill>
              <a:effectLst/>
              <a:latin typeface="+mn-lt"/>
              <a:ea typeface="+mn-ea"/>
              <a:cs typeface="+mn-cs"/>
            </a:rPr>
            <a:t> h</a:t>
          </a:r>
          <a:r>
            <a:rPr lang="fi-FI" sz="1400">
              <a:solidFill>
                <a:schemeClr val="tx1"/>
              </a:solidFill>
              <a:effectLst/>
              <a:latin typeface="+mn-lt"/>
              <a:ea typeface="+mn-ea"/>
              <a:cs typeface="+mn-cs"/>
            </a:rPr>
            <a:t>ieskoivutiheikköjen </a:t>
          </a:r>
          <a:r>
            <a:rPr lang="fi-FI" sz="1400" baseline="0">
              <a:solidFill>
                <a:schemeClr val="tx1"/>
              </a:solidFill>
              <a:effectLst/>
              <a:latin typeface="+mn-lt"/>
              <a:ea typeface="+mn-ea"/>
              <a:cs typeface="+mn-cs"/>
            </a:rPr>
            <a:t>keskimääräinen biomassatuotos riippuu metsikön iästä, ja kiertoaika (hakkuuajankohta) vaikuttaa myös tuottojen ja kustannusten ajoittumiseen. Laskurilla voi tutkia korkokannan ja metsähakkeen hinnan vaikutusta kannattavuuteen sekä etsiä kannattavinta kiertoaikaa välillä 15</a:t>
          </a:r>
          <a:r>
            <a:rPr lang="fi-FI" sz="1400" baseline="0">
              <a:solidFill>
                <a:schemeClr val="tx1"/>
              </a:solidFill>
              <a:effectLst/>
              <a:latin typeface="Aptos Narrow" panose="020B0004020202020204" pitchFamily="34" charset="0"/>
              <a:ea typeface="+mn-ea"/>
              <a:cs typeface="+mn-cs"/>
            </a:rPr>
            <a:t>–</a:t>
          </a:r>
          <a:r>
            <a:rPr lang="fi-FI" sz="1400" baseline="0">
              <a:solidFill>
                <a:schemeClr val="tx1"/>
              </a:solidFill>
              <a:effectLst/>
              <a:latin typeface="+mn-lt"/>
              <a:ea typeface="+mn-ea"/>
              <a:cs typeface="+mn-cs"/>
            </a:rPr>
            <a:t>30 vuotta.</a:t>
          </a:r>
        </a:p>
        <a:p>
          <a:endParaRPr lang="fi-FI" sz="1400" baseline="0">
            <a:solidFill>
              <a:schemeClr val="tx1"/>
            </a:solidFill>
            <a:effectLst/>
            <a:latin typeface="+mn-lt"/>
            <a:ea typeface="+mn-ea"/>
            <a:cs typeface="+mn-cs"/>
          </a:endParaRPr>
        </a:p>
        <a:p>
          <a:r>
            <a:rPr lang="fi-FI" sz="1400" baseline="0">
              <a:solidFill>
                <a:schemeClr val="tx1"/>
              </a:solidFill>
              <a:effectLst/>
              <a:latin typeface="+mn-lt"/>
              <a:ea typeface="+mn-ea"/>
              <a:cs typeface="+mn-cs"/>
            </a:rPr>
            <a:t>Biomassojen kasvatusta voi verrata  myös aurinkovoimala-alueesta saatavaan vuokratuottoon sekä hiilimarkkinoilta mahdollisesti saataviin tuottoihin päästövähennyksistä. Laskurissa oletetaan, että päästövähennys saadaan aikaan vettämällä turvetuotannosta vapautunut alue, mutta hiilen poistojen ja hiiliviljelyn  sertifiointikehyksen (CRCF-asetus) mukainen maksulogiikka ei ole vielä varmistunut.</a:t>
          </a:r>
          <a:endParaRPr lang="fi-FI" sz="1400" kern="1200"/>
        </a:p>
      </xdr:txBody>
    </xdr:sp>
    <xdr:clientData/>
  </xdr:twoCellAnchor>
  <xdr:twoCellAnchor editAs="absolute">
    <xdr:from>
      <xdr:col>0</xdr:col>
      <xdr:colOff>19050</xdr:colOff>
      <xdr:row>1</xdr:row>
      <xdr:rowOff>9549</xdr:rowOff>
    </xdr:from>
    <xdr:to>
      <xdr:col>1</xdr:col>
      <xdr:colOff>407670</xdr:colOff>
      <xdr:row>5</xdr:row>
      <xdr:rowOff>27647</xdr:rowOff>
    </xdr:to>
    <xdr:pic>
      <xdr:nvPicPr>
        <xdr:cNvPr id="4" name="Kuva 3">
          <a:extLst>
            <a:ext uri="{FF2B5EF4-FFF2-40B4-BE49-F238E27FC236}">
              <a16:creationId xmlns:a16="http://schemas.microsoft.com/office/drawing/2014/main" id="{90006B78-3C06-520C-F32F-EE629A7B059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9050" y="200049"/>
          <a:ext cx="3648075" cy="762953"/>
        </a:xfrm>
        <a:prstGeom prst="rect">
          <a:avLst/>
        </a:prstGeom>
      </xdr:spPr>
    </xdr:pic>
    <xdr:clientData/>
  </xdr:twoCellAnchor>
  <xdr:twoCellAnchor editAs="absolute">
    <xdr:from>
      <xdr:col>1</xdr:col>
      <xdr:colOff>257175</xdr:colOff>
      <xdr:row>1</xdr:row>
      <xdr:rowOff>38101</xdr:rowOff>
    </xdr:from>
    <xdr:to>
      <xdr:col>5</xdr:col>
      <xdr:colOff>152400</xdr:colOff>
      <xdr:row>4</xdr:row>
      <xdr:rowOff>71075</xdr:rowOff>
    </xdr:to>
    <xdr:pic>
      <xdr:nvPicPr>
        <xdr:cNvPr id="6" name="Kuva 5">
          <a:extLst>
            <a:ext uri="{FF2B5EF4-FFF2-40B4-BE49-F238E27FC236}">
              <a16:creationId xmlns:a16="http://schemas.microsoft.com/office/drawing/2014/main" id="{989845DA-EEC0-C53F-A648-080DF2A3019E}"/>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3524250" y="228601"/>
          <a:ext cx="3914775" cy="604474"/>
        </a:xfrm>
        <a:prstGeom prst="rect">
          <a:avLst/>
        </a:prstGeom>
      </xdr:spPr>
    </xdr:pic>
    <xdr:clientData/>
  </xdr:twoCellAnchor>
  <xdr:twoCellAnchor editAs="absolute">
    <xdr:from>
      <xdr:col>2</xdr:col>
      <xdr:colOff>19050</xdr:colOff>
      <xdr:row>43</xdr:row>
      <xdr:rowOff>219075</xdr:rowOff>
    </xdr:from>
    <xdr:to>
      <xdr:col>6</xdr:col>
      <xdr:colOff>666749</xdr:colOff>
      <xdr:row>47</xdr:row>
      <xdr:rowOff>290225</xdr:rowOff>
    </xdr:to>
    <xdr:sp macro="" textlink="">
      <xdr:nvSpPr>
        <xdr:cNvPr id="2" name="Tekstiruutu 1">
          <a:extLst>
            <a:ext uri="{FF2B5EF4-FFF2-40B4-BE49-F238E27FC236}">
              <a16:creationId xmlns:a16="http://schemas.microsoft.com/office/drawing/2014/main" id="{DF22AC90-6847-6F1E-B39C-05DF5506E170}"/>
            </a:ext>
          </a:extLst>
        </xdr:cNvPr>
        <xdr:cNvSpPr txBox="1"/>
      </xdr:nvSpPr>
      <xdr:spPr>
        <a:xfrm>
          <a:off x="4691313" y="15850101"/>
          <a:ext cx="3886199" cy="95346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fi-FI" sz="1100" kern="1200"/>
            <a:t>Voi olla, ettei aurinkovoimalan vuokrasopimusta uusita enää 45 vuoden päästä. Tällöin kannattavuutta pitää arvioida puhtaasti nettonykyarvon perusteella, koska kierto ei jatku ensimmäisen sopimuskauden jälkeen. Maata voi kuitenkin sopimuksen päätyttyä käyttää muihin tarkoituksiin.</a:t>
          </a:r>
        </a:p>
      </xdr:txBody>
    </xdr:sp>
    <xdr:clientData/>
  </xdr:twoCellAnchor>
  <xdr:twoCellAnchor editAs="absolute">
    <xdr:from>
      <xdr:col>2</xdr:col>
      <xdr:colOff>39604</xdr:colOff>
      <xdr:row>47</xdr:row>
      <xdr:rowOff>601578</xdr:rowOff>
    </xdr:from>
    <xdr:to>
      <xdr:col>6</xdr:col>
      <xdr:colOff>687303</xdr:colOff>
      <xdr:row>52</xdr:row>
      <xdr:rowOff>121281</xdr:rowOff>
    </xdr:to>
    <xdr:sp macro="" textlink="">
      <xdr:nvSpPr>
        <xdr:cNvPr id="3" name="Tekstiruutu 2">
          <a:extLst>
            <a:ext uri="{FF2B5EF4-FFF2-40B4-BE49-F238E27FC236}">
              <a16:creationId xmlns:a16="http://schemas.microsoft.com/office/drawing/2014/main" id="{752062D4-69B5-41B2-B4E7-B8938F041AAA}"/>
            </a:ext>
          </a:extLst>
        </xdr:cNvPr>
        <xdr:cNvSpPr txBox="1"/>
      </xdr:nvSpPr>
      <xdr:spPr>
        <a:xfrm>
          <a:off x="4711867" y="17114920"/>
          <a:ext cx="3886199" cy="95346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fi-FI" sz="1100" kern="1200"/>
            <a:t>CRCF-luonnnoksessa vettämisen minimikesto on 10 vuotta, ja sopimuksen voisi uusia kahdesti. Näin ollen  CRCF-yksiköitä ja tuloja voi saada enintään 30 vuoden ajan. Vettämisessä olennaista on nettonykyarvo, koska pinta-alaan perustuva tuotto on nolla CRCF sopimusten loputtua.</a:t>
          </a:r>
        </a:p>
      </xdr:txBody>
    </xdr:sp>
    <xdr:clientData/>
  </xdr:twoCellAnchor>
  <xdr:twoCellAnchor editAs="absolute">
    <xdr:from>
      <xdr:col>5</xdr:col>
      <xdr:colOff>600077</xdr:colOff>
      <xdr:row>0</xdr:row>
      <xdr:rowOff>0</xdr:rowOff>
    </xdr:from>
    <xdr:to>
      <xdr:col>6</xdr:col>
      <xdr:colOff>1171664</xdr:colOff>
      <xdr:row>4</xdr:row>
      <xdr:rowOff>140082</xdr:rowOff>
    </xdr:to>
    <xdr:pic>
      <xdr:nvPicPr>
        <xdr:cNvPr id="7" name="Kuva 6">
          <a:extLst>
            <a:ext uri="{FF2B5EF4-FFF2-40B4-BE49-F238E27FC236}">
              <a16:creationId xmlns:a16="http://schemas.microsoft.com/office/drawing/2014/main" id="{F9A59870-E73A-0D38-72A9-F0DB8C641DA9}"/>
            </a:ext>
          </a:extLst>
        </xdr:cNvPr>
        <xdr:cNvPicPr>
          <a:picLocks noChangeAspect="1"/>
        </xdr:cNvPicPr>
      </xdr:nvPicPr>
      <xdr:blipFill>
        <a:blip xmlns:r="http://schemas.openxmlformats.org/officeDocument/2006/relationships" r:embed="rId3"/>
        <a:stretch>
          <a:fillRect/>
        </a:stretch>
      </xdr:blipFill>
      <xdr:spPr>
        <a:xfrm>
          <a:off x="7886702" y="0"/>
          <a:ext cx="1167852" cy="89636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absolute">
    <xdr:from>
      <xdr:col>0</xdr:col>
      <xdr:colOff>0</xdr:colOff>
      <xdr:row>4</xdr:row>
      <xdr:rowOff>28575</xdr:rowOff>
    </xdr:from>
    <xdr:to>
      <xdr:col>1</xdr:col>
      <xdr:colOff>207075</xdr:colOff>
      <xdr:row>20</xdr:row>
      <xdr:rowOff>31225</xdr:rowOff>
    </xdr:to>
    <xdr:pic>
      <xdr:nvPicPr>
        <xdr:cNvPr id="3" name="Kuva 2">
          <a:extLst>
            <a:ext uri="{FF2B5EF4-FFF2-40B4-BE49-F238E27FC236}">
              <a16:creationId xmlns:a16="http://schemas.microsoft.com/office/drawing/2014/main" id="{13B1A67F-5EEF-B639-E528-23A9931DA582}"/>
            </a:ext>
          </a:extLst>
        </xdr:cNvPr>
        <xdr:cNvPicPr>
          <a:picLocks noChangeAspect="1"/>
        </xdr:cNvPicPr>
      </xdr:nvPicPr>
      <xdr:blipFill>
        <a:blip xmlns:r="http://schemas.openxmlformats.org/officeDocument/2006/relationships" r:embed="rId1"/>
        <a:stretch>
          <a:fillRect/>
        </a:stretch>
      </xdr:blipFill>
      <xdr:spPr>
        <a:xfrm>
          <a:off x="0" y="1304925"/>
          <a:ext cx="6084000" cy="7241650"/>
        </a:xfrm>
        <a:prstGeom prst="rect">
          <a:avLst/>
        </a:prstGeom>
      </xdr:spPr>
    </xdr:pic>
    <xdr:clientData/>
  </xdr:twoCellAnchor>
  <xdr:twoCellAnchor editAs="absolute">
    <xdr:from>
      <xdr:col>0</xdr:col>
      <xdr:colOff>0</xdr:colOff>
      <xdr:row>19</xdr:row>
      <xdr:rowOff>1481137</xdr:rowOff>
    </xdr:from>
    <xdr:to>
      <xdr:col>1</xdr:col>
      <xdr:colOff>152400</xdr:colOff>
      <xdr:row>24</xdr:row>
      <xdr:rowOff>133350</xdr:rowOff>
    </xdr:to>
    <xdr:sp macro="" textlink="">
      <xdr:nvSpPr>
        <xdr:cNvPr id="4" name="Tekstiruutu 3">
          <a:extLst>
            <a:ext uri="{FF2B5EF4-FFF2-40B4-BE49-F238E27FC236}">
              <a16:creationId xmlns:a16="http://schemas.microsoft.com/office/drawing/2014/main" id="{FB8C65C0-AD01-FFC1-553E-F3C267071B2B}"/>
            </a:ext>
          </a:extLst>
        </xdr:cNvPr>
        <xdr:cNvSpPr txBox="1"/>
      </xdr:nvSpPr>
      <xdr:spPr>
        <a:xfrm>
          <a:off x="0" y="8472487"/>
          <a:ext cx="6029325" cy="938213"/>
        </a:xfrm>
        <a:prstGeom prst="rect">
          <a:avLst/>
        </a:prstGeom>
        <a:solidFill>
          <a:schemeClr val="lt1"/>
        </a:solidFill>
        <a:ln w="9525" cmpd="sng">
          <a:solidFill>
            <a:schemeClr val="bg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fi-FI" sz="1100" b="1" kern="1200"/>
            <a:t>Tuotantoketjujen päävaiheet  22 vuoden tarkastelujaksolla</a:t>
          </a:r>
          <a:r>
            <a:rPr lang="fi-FI" sz="1100" kern="1200"/>
            <a:t>. N = typpilannoitus, N+T = typpilannoitus+tuhka,  NPK = lannoitus moniravinteisella lannoitteella, NK = typpi- ja kaliumlannoitus, m+k =  muokkaus ja kylvö ja  gr = </a:t>
          </a:r>
          <a:r>
            <a:rPr lang="fi-FI" sz="1100" kern="1200">
              <a:ln>
                <a:noFill/>
              </a:ln>
            </a:rPr>
            <a:t>kasvuston</a:t>
          </a:r>
          <a:r>
            <a:rPr lang="fi-FI" sz="1100" kern="1200"/>
            <a:t> lopetus glyfosaattiruiskutuksella. Sadonkorjuuvuodet on ympäröity.</a:t>
          </a:r>
        </a:p>
      </xdr:txBody>
    </xdr:sp>
    <xdr:clientData/>
  </xdr:twoCellAnchor>
  <xdr:oneCellAnchor>
    <xdr:from>
      <xdr:col>2</xdr:col>
      <xdr:colOff>3057525</xdr:colOff>
      <xdr:row>16</xdr:row>
      <xdr:rowOff>1009650</xdr:rowOff>
    </xdr:from>
    <xdr:ext cx="184731" cy="264560"/>
    <xdr:sp macro="" textlink="">
      <xdr:nvSpPr>
        <xdr:cNvPr id="5" name="Tekstiruutu 4">
          <a:extLst>
            <a:ext uri="{FF2B5EF4-FFF2-40B4-BE49-F238E27FC236}">
              <a16:creationId xmlns:a16="http://schemas.microsoft.com/office/drawing/2014/main" id="{ECB82B3D-02C4-BB2E-6B1D-84239487D595}"/>
            </a:ext>
          </a:extLst>
        </xdr:cNvPr>
        <xdr:cNvSpPr txBox="1"/>
      </xdr:nvSpPr>
      <xdr:spPr>
        <a:xfrm>
          <a:off x="9353550" y="6810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i-FI" sz="1100" kern="1200"/>
        </a:p>
      </xdr:txBody>
    </xdr:sp>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45F82"/>
      </a:accent1>
      <a:accent2>
        <a:srgbClr val="E87331"/>
      </a:accent2>
      <a:accent3>
        <a:srgbClr val="186C24"/>
      </a:accent3>
      <a:accent4>
        <a:srgbClr val="0F9ED5"/>
      </a:accent4>
      <a:accent5>
        <a:srgbClr val="A02B93"/>
      </a:accent5>
      <a:accent6>
        <a:srgbClr val="4EA72E"/>
      </a:accent6>
      <a:hlink>
        <a:srgbClr val="467886"/>
      </a:hlink>
      <a:folHlink>
        <a:srgbClr val="96607D"/>
      </a:folHlink>
    </a:clrScheme>
    <a:fontScheme name="Office">
      <a:majorFont>
        <a:latin typeface="Aptos Display"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hyperlink" Target="http://urn.fi/URN:ISBN:978-952-419-157-9"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047C67-A281-48CC-840E-AA9B2F617EB5}">
  <dimension ref="A7:V66"/>
  <sheetViews>
    <sheetView showGridLines="0" tabSelected="1" topLeftCell="A12" zoomScale="95" zoomScaleNormal="95" workbookViewId="0">
      <selection activeCell="B23" sqref="B23"/>
    </sheetView>
  </sheetViews>
  <sheetFormatPr defaultColWidth="9.140625" defaultRowHeight="15" x14ac:dyDescent="0.25"/>
  <cols>
    <col min="1" max="1" width="49" style="1" customWidth="1"/>
    <col min="2" max="3" width="21" style="1" customWidth="1"/>
    <col min="4" max="6" width="9.140625" style="1"/>
    <col min="7" max="7" width="18.28515625" style="1" customWidth="1"/>
    <col min="8" max="15" width="9.140625" style="1"/>
    <col min="16" max="16" width="30.85546875" style="1" customWidth="1"/>
    <col min="17" max="17" width="11" style="1" bestFit="1" customWidth="1"/>
    <col min="18" max="16384" width="9.140625" style="1"/>
  </cols>
  <sheetData>
    <row r="7" spans="1:7" ht="34.5" x14ac:dyDescent="0.55000000000000004">
      <c r="A7" s="22" t="s">
        <v>0</v>
      </c>
    </row>
    <row r="9" spans="1:7" s="23" customFormat="1" ht="321" customHeight="1" x14ac:dyDescent="0.25">
      <c r="A9" s="89"/>
      <c r="B9" s="89"/>
      <c r="C9" s="89"/>
      <c r="D9" s="89"/>
      <c r="E9" s="89"/>
      <c r="F9" s="89"/>
      <c r="G9" s="89"/>
    </row>
    <row r="10" spans="1:7" s="23" customFormat="1" x14ac:dyDescent="0.25"/>
    <row r="11" spans="1:7" ht="34.5" x14ac:dyDescent="0.55000000000000004">
      <c r="A11" s="3" t="s">
        <v>1</v>
      </c>
    </row>
    <row r="12" spans="1:7" ht="45" x14ac:dyDescent="0.25">
      <c r="A12" s="2" t="s">
        <v>2</v>
      </c>
      <c r="B12" s="4" t="s">
        <v>3</v>
      </c>
    </row>
    <row r="13" spans="1:7" x14ac:dyDescent="0.25">
      <c r="A13" s="1" t="s">
        <v>4</v>
      </c>
      <c r="B13" s="24">
        <v>5</v>
      </c>
      <c r="C13" s="1" t="s">
        <v>5</v>
      </c>
    </row>
    <row r="14" spans="1:7" x14ac:dyDescent="0.25">
      <c r="A14" s="1" t="s">
        <v>6</v>
      </c>
      <c r="B14" s="5">
        <v>6</v>
      </c>
      <c r="C14" s="1" t="s">
        <v>7</v>
      </c>
    </row>
    <row r="15" spans="1:7" ht="17.25" customHeight="1" x14ac:dyDescent="0.25">
      <c r="A15" s="1" t="s">
        <v>8</v>
      </c>
      <c r="B15" s="24">
        <v>5</v>
      </c>
      <c r="C15" s="1" t="s">
        <v>7</v>
      </c>
    </row>
    <row r="16" spans="1:7" ht="50.1" customHeight="1" x14ac:dyDescent="0.55000000000000004">
      <c r="A16" s="3" t="s">
        <v>128</v>
      </c>
    </row>
    <row r="17" spans="1:22" ht="30" x14ac:dyDescent="0.25">
      <c r="A17" s="2" t="s">
        <v>9</v>
      </c>
      <c r="B17" s="4" t="s">
        <v>10</v>
      </c>
    </row>
    <row r="18" spans="1:22" x14ac:dyDescent="0.25">
      <c r="A18" s="1" t="s">
        <v>129</v>
      </c>
      <c r="B18" s="24">
        <v>140</v>
      </c>
      <c r="C18" s="1" t="s">
        <v>134</v>
      </c>
    </row>
    <row r="19" spans="1:22" x14ac:dyDescent="0.25">
      <c r="A19" s="1" t="s">
        <v>130</v>
      </c>
      <c r="B19" s="24">
        <v>160</v>
      </c>
    </row>
    <row r="20" spans="1:22" x14ac:dyDescent="0.25">
      <c r="A20" s="1" t="s">
        <v>131</v>
      </c>
      <c r="B20" s="24">
        <v>200</v>
      </c>
    </row>
    <row r="21" spans="1:22" x14ac:dyDescent="0.25">
      <c r="A21" s="1" t="s">
        <v>132</v>
      </c>
      <c r="B21" s="24">
        <v>160</v>
      </c>
    </row>
    <row r="22" spans="1:22" x14ac:dyDescent="0.25">
      <c r="A22" s="1" t="s">
        <v>124</v>
      </c>
      <c r="B22" s="24">
        <v>206</v>
      </c>
    </row>
    <row r="23" spans="1:22" x14ac:dyDescent="0.25">
      <c r="A23" s="1" t="s">
        <v>133</v>
      </c>
      <c r="B23" s="24">
        <v>300</v>
      </c>
    </row>
    <row r="24" spans="1:22" ht="50.1" customHeight="1" x14ac:dyDescent="0.55000000000000004">
      <c r="A24" s="3" t="s">
        <v>12</v>
      </c>
    </row>
    <row r="25" spans="1:22" x14ac:dyDescent="0.25">
      <c r="A25" s="2" t="s">
        <v>13</v>
      </c>
      <c r="B25" s="25">
        <v>0.05</v>
      </c>
    </row>
    <row r="26" spans="1:22" s="23" customFormat="1" x14ac:dyDescent="0.25">
      <c r="A26" s="21"/>
      <c r="B26" s="26"/>
    </row>
    <row r="27" spans="1:22" ht="50.1" customHeight="1" x14ac:dyDescent="0.55000000000000004">
      <c r="A27" s="3" t="s">
        <v>14</v>
      </c>
    </row>
    <row r="28" spans="1:22" x14ac:dyDescent="0.25">
      <c r="A28" s="2" t="s">
        <v>15</v>
      </c>
      <c r="B28" s="82" t="s">
        <v>16</v>
      </c>
      <c r="C28" s="83" t="s">
        <v>17</v>
      </c>
      <c r="P28" s="27"/>
      <c r="Q28" s="28"/>
    </row>
    <row r="29" spans="1:22" x14ac:dyDescent="0.25">
      <c r="A29" s="79" t="s">
        <v>18</v>
      </c>
      <c r="B29" s="66" cm="1">
        <f t="array" ref="B29:B36">INDEX(Työkaluvälilehti!$G$4:$O$12,MATCH($A$29:$A$36,Työkaluvälilehti!$F$4:$F$12,0),MATCH(Laskuri!$B$25,Työkaluvälilehti!$G$3:$O$3,0))</f>
        <v>-1894.7589457118097</v>
      </c>
      <c r="C29" s="66" cm="1">
        <f t="array" ref="C29:C36">INDEX(Työkaluvälilehti!$G$17:$N$25,MATCH($A$29:$A$36,Työkaluvälilehti!$F$17:$F$25,0),MATCH(Laskuri!$B$25,Työkaluvälilehti!$G$16:$N$16,0))</f>
        <v>-2878.9160139497385</v>
      </c>
      <c r="D29" s="1" t="s">
        <v>19</v>
      </c>
      <c r="P29" s="27"/>
      <c r="Q29" s="28"/>
      <c r="U29" s="29"/>
      <c r="V29" s="30"/>
    </row>
    <row r="30" spans="1:22" x14ac:dyDescent="0.25">
      <c r="A30" s="79" t="s">
        <v>20</v>
      </c>
      <c r="B30" s="66">
        <v>-2345.9597746970749</v>
      </c>
      <c r="C30" s="66">
        <v>-3564.4751427312044</v>
      </c>
      <c r="P30" s="27"/>
      <c r="Q30" s="28"/>
      <c r="U30" s="29"/>
      <c r="V30" s="30"/>
    </row>
    <row r="31" spans="1:22" s="73" customFormat="1" x14ac:dyDescent="0.25">
      <c r="A31" s="80" t="s">
        <v>126</v>
      </c>
      <c r="B31" s="81">
        <v>1994.0665304733554</v>
      </c>
      <c r="C31" s="81">
        <v>5164.8147696358919</v>
      </c>
      <c r="D31" s="73" t="s">
        <v>21</v>
      </c>
      <c r="P31" s="74"/>
      <c r="Q31" s="75"/>
      <c r="U31" s="76"/>
      <c r="V31" s="77"/>
    </row>
    <row r="32" spans="1:22" s="73" customFormat="1" x14ac:dyDescent="0.25">
      <c r="A32" s="80" t="s">
        <v>127</v>
      </c>
      <c r="B32" s="81">
        <v>196.03948609165633</v>
      </c>
      <c r="C32" s="81">
        <v>507.76020645492986</v>
      </c>
      <c r="D32" s="73" t="s">
        <v>22</v>
      </c>
      <c r="P32" s="74"/>
      <c r="Q32" s="75"/>
      <c r="U32" s="76"/>
      <c r="V32" s="77"/>
    </row>
    <row r="33" spans="1:22" x14ac:dyDescent="0.25">
      <c r="A33" s="79" t="s">
        <v>23</v>
      </c>
      <c r="B33" s="66">
        <v>1094.0880920518334</v>
      </c>
      <c r="C33" s="66">
        <v>2833.788266718801</v>
      </c>
      <c r="D33" s="1" t="s">
        <v>21</v>
      </c>
      <c r="P33" s="32"/>
      <c r="Q33" s="31"/>
      <c r="U33" s="29"/>
      <c r="V33" s="31"/>
    </row>
    <row r="34" spans="1:22" s="73" customFormat="1" x14ac:dyDescent="0.25">
      <c r="A34" s="80" t="s">
        <v>24</v>
      </c>
      <c r="B34" s="81">
        <v>167.43218220346398</v>
      </c>
      <c r="C34" s="81">
        <v>433.66467183596978</v>
      </c>
      <c r="D34" s="73" t="s">
        <v>21</v>
      </c>
      <c r="P34" s="76"/>
      <c r="Q34" s="77"/>
      <c r="U34" s="76"/>
      <c r="V34" s="77"/>
    </row>
    <row r="35" spans="1:22" s="73" customFormat="1" x14ac:dyDescent="0.25">
      <c r="A35" s="80" t="s">
        <v>25</v>
      </c>
      <c r="B35" s="81">
        <v>-1470.0464487309564</v>
      </c>
      <c r="C35" s="81">
        <v>-3807.5548104476279</v>
      </c>
      <c r="D35" s="73" t="s">
        <v>21</v>
      </c>
      <c r="P35" s="76"/>
      <c r="Q35" s="77"/>
      <c r="U35" s="76"/>
      <c r="V35" s="77"/>
    </row>
    <row r="36" spans="1:22" s="73" customFormat="1" x14ac:dyDescent="0.25">
      <c r="A36" s="80" t="s">
        <v>11</v>
      </c>
      <c r="B36" s="81">
        <v>-131.87529051691786</v>
      </c>
      <c r="C36" s="81">
        <v>-341.56906893679115</v>
      </c>
      <c r="P36" s="76"/>
      <c r="Q36" s="77"/>
      <c r="U36" s="76"/>
      <c r="V36" s="77"/>
    </row>
    <row r="37" spans="1:22" ht="50.1" customHeight="1" x14ac:dyDescent="0.55000000000000004">
      <c r="A37" s="3" t="s">
        <v>26</v>
      </c>
      <c r="P37" s="29"/>
      <c r="Q37" s="31"/>
      <c r="U37" s="29"/>
      <c r="V37" s="31"/>
    </row>
    <row r="38" spans="1:22" ht="24.95" customHeight="1" x14ac:dyDescent="0.25">
      <c r="A38" s="2" t="s">
        <v>27</v>
      </c>
      <c r="B38" s="24">
        <v>150</v>
      </c>
      <c r="C38" s="1" t="s">
        <v>28</v>
      </c>
    </row>
    <row r="39" spans="1:22" ht="24.95" customHeight="1" x14ac:dyDescent="0.25">
      <c r="A39" s="33" t="s">
        <v>29</v>
      </c>
      <c r="B39" s="1" t="s">
        <v>30</v>
      </c>
    </row>
    <row r="40" spans="1:22" x14ac:dyDescent="0.25">
      <c r="A40" s="66">
        <f>MAX('Hieskoivun laskelmat'!$I$4:$I$19)</f>
        <v>1040.1097018181063</v>
      </c>
      <c r="B40" s="67">
        <f>_xlfn.XLOOKUP(A40,'Hieskoivun laskelmat'!$I$4:$I$19,'Hieskoivun laskelmat'!$H$4:$H$19)</f>
        <v>26</v>
      </c>
      <c r="C40" s="1" t="s">
        <v>31</v>
      </c>
    </row>
    <row r="41" spans="1:22" x14ac:dyDescent="0.25">
      <c r="A41" s="33" t="s">
        <v>32</v>
      </c>
      <c r="B41" s="1" t="s">
        <v>33</v>
      </c>
    </row>
    <row r="42" spans="1:22" x14ac:dyDescent="0.25">
      <c r="A42" s="66">
        <f>MAX('Hieskoivun laskelmat'!$J$4:$J$19)</f>
        <v>1683.6532980169932</v>
      </c>
      <c r="B42" s="67">
        <f>_xlfn.XLOOKUP(A42,'Hieskoivun laskelmat'!$J$4:$J$19,'Hieskoivun laskelmat'!$H$4:$H$19)</f>
        <v>22</v>
      </c>
      <c r="C42" s="1" t="s">
        <v>31</v>
      </c>
    </row>
    <row r="43" spans="1:22" ht="50.1" customHeight="1" x14ac:dyDescent="0.55000000000000004">
      <c r="A43" s="3" t="s">
        <v>34</v>
      </c>
    </row>
    <row r="44" spans="1:22" ht="24.95" customHeight="1" x14ac:dyDescent="0.25">
      <c r="A44" s="59" t="s">
        <v>35</v>
      </c>
      <c r="B44" s="2" t="s">
        <v>36</v>
      </c>
    </row>
    <row r="45" spans="1:22" x14ac:dyDescent="0.25">
      <c r="A45" s="24">
        <v>30</v>
      </c>
      <c r="B45" s="34">
        <v>200</v>
      </c>
    </row>
    <row r="46" spans="1:22" x14ac:dyDescent="0.25">
      <c r="A46" s="1" t="s">
        <v>37</v>
      </c>
      <c r="B46" s="1" t="s">
        <v>17</v>
      </c>
    </row>
    <row r="47" spans="1:22" ht="15" customHeight="1" x14ac:dyDescent="0.25">
      <c r="A47" s="68">
        <f ca="1">NPV(Työkaluvälilehti!$B$17,OFFSET('Aurinkovoima ja vettäminen'!$B$2:$B$61,(60-Työkaluvälilehti!$A$26),0))</f>
        <v>3074.4902053765654</v>
      </c>
      <c r="B47" s="66">
        <f ca="1">A47/(1-(1/(1+$B$25))^(A45))</f>
        <v>3999.9999999999959</v>
      </c>
      <c r="C47" s="90"/>
      <c r="D47" s="91"/>
      <c r="E47" s="91"/>
      <c r="F47" s="91"/>
      <c r="G47" s="91"/>
      <c r="H47" s="91"/>
    </row>
    <row r="48" spans="1:22" s="3" customFormat="1" ht="50.1" customHeight="1" x14ac:dyDescent="0.55000000000000004">
      <c r="A48" s="3" t="s">
        <v>38</v>
      </c>
    </row>
    <row r="49" spans="1:5" ht="18" x14ac:dyDescent="0.35">
      <c r="A49" s="69" t="s">
        <v>39</v>
      </c>
    </row>
    <row r="50" spans="1:5" x14ac:dyDescent="0.25">
      <c r="A50" s="34">
        <v>30</v>
      </c>
    </row>
    <row r="51" spans="1:5" x14ac:dyDescent="0.25">
      <c r="A51" s="1" t="s">
        <v>37</v>
      </c>
    </row>
    <row r="52" spans="1:5" x14ac:dyDescent="0.25">
      <c r="A52" s="68">
        <f>NPV(Työkaluvälilehti!B17,'Aurinkovoima ja vettäminen'!$D$2:$D$61)</f>
        <v>4381.1485426616055</v>
      </c>
    </row>
    <row r="55" spans="1:5" x14ac:dyDescent="0.25">
      <c r="D55" s="35"/>
    </row>
    <row r="56" spans="1:5" x14ac:dyDescent="0.25">
      <c r="D56" s="33"/>
      <c r="E56" s="33"/>
    </row>
    <row r="57" spans="1:5" x14ac:dyDescent="0.25">
      <c r="D57" s="33"/>
      <c r="E57" s="33"/>
    </row>
    <row r="58" spans="1:5" x14ac:dyDescent="0.25">
      <c r="D58" s="33"/>
      <c r="E58" s="33"/>
    </row>
    <row r="59" spans="1:5" x14ac:dyDescent="0.25">
      <c r="D59" s="33"/>
      <c r="E59" s="33"/>
    </row>
    <row r="60" spans="1:5" x14ac:dyDescent="0.25">
      <c r="D60" s="33"/>
      <c r="E60" s="33"/>
    </row>
    <row r="61" spans="1:5" x14ac:dyDescent="0.25">
      <c r="D61" s="33"/>
      <c r="E61" s="33"/>
    </row>
    <row r="62" spans="1:5" x14ac:dyDescent="0.25">
      <c r="D62" s="33"/>
      <c r="E62" s="33"/>
    </row>
    <row r="63" spans="1:5" x14ac:dyDescent="0.25">
      <c r="D63" s="33"/>
      <c r="E63" s="33"/>
    </row>
    <row r="64" spans="1:5" x14ac:dyDescent="0.25">
      <c r="D64" s="33"/>
      <c r="E64" s="33"/>
    </row>
    <row r="65" spans="4:5" x14ac:dyDescent="0.25">
      <c r="D65" s="33"/>
      <c r="E65" s="33"/>
    </row>
    <row r="66" spans="4:5" x14ac:dyDescent="0.25">
      <c r="D66" s="33"/>
      <c r="E66" s="33"/>
    </row>
  </sheetData>
  <sheetProtection algorithmName="SHA-512" hashValue="ZNc4iumuYtMVpWfaYwpiTLpRUSDmAE2FEVEDvImOMS0/5F3aOgr1EhXkgzuMb1NKSEO5EmC2WsV3xp/pJ6LZlw==" saltValue="V5UO7zmTqaAL2Nzi6BgYWg==" spinCount="100000" sheet="1" objects="1" scenarios="1" selectLockedCells="1"/>
  <sortState xmlns:xlrd2="http://schemas.microsoft.com/office/spreadsheetml/2017/richdata2" ref="C56:E66">
    <sortCondition ref="E56:E66"/>
  </sortState>
  <mergeCells count="2">
    <mergeCell ref="A9:G9"/>
    <mergeCell ref="C47:H47"/>
  </mergeCells>
  <dataValidations count="3">
    <dataValidation type="custom" allowBlank="1" showInputMessage="1" showErrorMessage="1" error="Luku on sallitun vaihteluvälin ulkopuolella." sqref="B14:B15" xr:uid="{C579A7DB-61D0-4E77-A108-423A27C2A95C}">
      <formula1>AND(B14&gt;=0,B14&lt;=10)</formula1>
    </dataValidation>
    <dataValidation type="decimal" allowBlank="1" showInputMessage="1" showErrorMessage="1" error="Luku on sallitun vaihteluvälin ulkopuolella." sqref="B25" xr:uid="{9674EF04-1200-4435-BC9D-41139E4E15D3}">
      <formula1>0.01</formula1>
      <formula2>0.08</formula2>
    </dataValidation>
    <dataValidation type="custom" allowBlank="1" showInputMessage="1" showErrorMessage="1" error="Luku on sallitun vaihteluvälin ulkopuolella." sqref="B13" xr:uid="{68E7372B-524A-40F4-A760-D10D1B9F35CE}">
      <formula1>AND(B13&gt;=0,B13&lt;=15)</formula1>
    </dataValidation>
  </dataValidations>
  <pageMargins left="0.7" right="0.7" top="0.75" bottom="0.75" header="0.3" footer="0.3"/>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04B7E7-1567-4F78-96C9-7D16B9AE955F}">
  <dimension ref="A1:W137"/>
  <sheetViews>
    <sheetView workbookViewId="0">
      <selection activeCell="K5" sqref="K5:K29"/>
    </sheetView>
  </sheetViews>
  <sheetFormatPr defaultColWidth="4.7109375" defaultRowHeight="15" x14ac:dyDescent="0.25"/>
  <cols>
    <col min="1" max="1" width="4.85546875" style="6" bestFit="1" customWidth="1"/>
    <col min="2" max="7" width="6" style="6" bestFit="1" customWidth="1"/>
    <col min="8" max="8" width="6.7109375" style="6" bestFit="1" customWidth="1"/>
    <col min="9" max="9" width="9.28515625" style="6" customWidth="1"/>
    <col min="10" max="10" width="4.7109375" style="6"/>
    <col min="11" max="11" width="10.7109375" style="6" customWidth="1"/>
    <col min="12" max="16384" width="4.7109375" style="6"/>
  </cols>
  <sheetData>
    <row r="1" spans="1:23" x14ac:dyDescent="0.25">
      <c r="A1" s="6" t="s">
        <v>94</v>
      </c>
      <c r="B1" s="6">
        <v>0.03</v>
      </c>
    </row>
    <row r="3" spans="1:23" x14ac:dyDescent="0.25">
      <c r="A3" s="6" t="s">
        <v>95</v>
      </c>
    </row>
    <row r="4" spans="1:23" x14ac:dyDescent="0.25">
      <c r="A4" s="6" t="s">
        <v>78</v>
      </c>
      <c r="B4" s="6" t="s">
        <v>96</v>
      </c>
      <c r="C4" s="6" t="s">
        <v>97</v>
      </c>
      <c r="D4" s="6" t="s">
        <v>98</v>
      </c>
      <c r="E4" s="6" t="s">
        <v>99</v>
      </c>
      <c r="F4" s="6" t="s">
        <v>100</v>
      </c>
      <c r="G4" s="6" t="s">
        <v>101</v>
      </c>
      <c r="H4" s="6" t="s">
        <v>102</v>
      </c>
      <c r="T4" s="10"/>
      <c r="U4" s="10"/>
    </row>
    <row r="5" spans="1:23" x14ac:dyDescent="0.25">
      <c r="A5" s="6">
        <v>0</v>
      </c>
      <c r="B5" s="10">
        <v>2623.0520000000001</v>
      </c>
      <c r="C5" s="6">
        <v>0</v>
      </c>
      <c r="D5" s="10">
        <v>0</v>
      </c>
      <c r="E5" s="10">
        <f>D5-B5-C5</f>
        <v>-2623.0520000000001</v>
      </c>
      <c r="F5" s="10">
        <f>B5/(1+$B$1)^$A5+C5/(1+$B$1)^$A5</f>
        <v>2623.0520000000001</v>
      </c>
      <c r="G5" s="10">
        <f t="shared" ref="G5:G12" si="0">D5/(1+$B$1)^$A5</f>
        <v>0</v>
      </c>
      <c r="H5" s="10">
        <f>G5-F5</f>
        <v>-2623.0520000000001</v>
      </c>
      <c r="I5" s="10"/>
      <c r="K5" s="10">
        <f>E5/(1+$B$1)^(A5)</f>
        <v>-2623.0520000000001</v>
      </c>
      <c r="L5" s="10"/>
      <c r="M5" s="10"/>
      <c r="N5" s="10"/>
      <c r="O5" s="10"/>
      <c r="P5" s="10"/>
      <c r="Q5" s="10"/>
      <c r="R5" s="10"/>
    </row>
    <row r="6" spans="1:23" x14ac:dyDescent="0.25">
      <c r="A6" s="6">
        <v>1</v>
      </c>
      <c r="B6" s="10">
        <v>123.69</v>
      </c>
      <c r="C6" s="6">
        <v>0</v>
      </c>
      <c r="D6" s="10">
        <v>0</v>
      </c>
      <c r="E6" s="10">
        <f t="shared" ref="E6:E12" si="1">D6-B6-C6</f>
        <v>-123.69</v>
      </c>
      <c r="F6" s="10">
        <f t="shared" ref="F6" si="2">B6/(1+$B$1)^$A6+C6/(1+$B$1)^$A6</f>
        <v>120.08737864077669</v>
      </c>
      <c r="G6" s="10">
        <f t="shared" si="0"/>
        <v>0</v>
      </c>
      <c r="H6" s="10">
        <f>G6-F6</f>
        <v>-120.08737864077669</v>
      </c>
      <c r="I6" s="10"/>
      <c r="K6" s="10">
        <f t="shared" ref="K6:K12" si="3">E6/(1+$B$1)^(A6)</f>
        <v>-120.08737864077669</v>
      </c>
      <c r="L6" s="10"/>
      <c r="M6" s="10"/>
      <c r="N6" s="10"/>
      <c r="O6" s="10"/>
      <c r="P6" s="10"/>
      <c r="Q6" s="10"/>
      <c r="R6" s="10"/>
      <c r="S6" s="13"/>
      <c r="T6" s="10"/>
      <c r="U6" s="10"/>
      <c r="V6" s="10"/>
      <c r="W6" s="10"/>
    </row>
    <row r="7" spans="1:23" x14ac:dyDescent="0.25">
      <c r="A7" s="6">
        <v>5</v>
      </c>
      <c r="B7" s="10">
        <v>366.1198</v>
      </c>
      <c r="C7" s="6">
        <f>750.215+224.759*Laskuri!$B$13-1.873*Laskuri!$B$13^2</f>
        <v>1827.1849999999997</v>
      </c>
      <c r="D7" s="10">
        <f>Työkaluvälilehti!$B$10*(A7-A6)*Työkaluvälilehti!$B$2</f>
        <v>2510.2560000000003</v>
      </c>
      <c r="E7" s="10">
        <f>D7-B7-C7</f>
        <v>316.95120000000065</v>
      </c>
      <c r="F7" s="10">
        <f t="shared" ref="F7:F12" si="4">B7/(1+$B$1)^$A7+C7/(1+$B$1)^$A7</f>
        <v>1891.9639873119518</v>
      </c>
      <c r="G7" s="10">
        <f t="shared" si="0"/>
        <v>2165.3688766530545</v>
      </c>
      <c r="H7" s="10">
        <f t="shared" ref="H7:H11" si="5">G7-F7</f>
        <v>273.40488934110272</v>
      </c>
      <c r="I7" s="10"/>
      <c r="K7" s="10">
        <f t="shared" si="3"/>
        <v>273.40488934110266</v>
      </c>
      <c r="L7" s="10"/>
      <c r="M7" s="10"/>
      <c r="N7" s="10"/>
      <c r="O7" s="10"/>
      <c r="P7" s="10"/>
      <c r="Q7" s="10"/>
      <c r="R7" s="10"/>
      <c r="S7" s="13"/>
    </row>
    <row r="8" spans="1:23" x14ac:dyDescent="0.25">
      <c r="A8" s="6">
        <v>9</v>
      </c>
      <c r="B8" s="10">
        <v>366.1198</v>
      </c>
      <c r="C8" s="6">
        <f>750.215+224.759*Laskuri!$B$13-1.873*Laskuri!$B$13^2</f>
        <v>1827.1849999999997</v>
      </c>
      <c r="D8" s="10">
        <f>Työkaluvälilehti!$B$10*(A8-A7)*Työkaluvälilehti!$B$2</f>
        <v>2510.2560000000003</v>
      </c>
      <c r="E8" s="10">
        <f>D8-B8-C8</f>
        <v>316.95120000000065</v>
      </c>
      <c r="F8" s="10">
        <f t="shared" si="4"/>
        <v>1680.9854978495921</v>
      </c>
      <c r="G8" s="10">
        <f t="shared" si="0"/>
        <v>1923.9022008659838</v>
      </c>
      <c r="H8" s="10">
        <f t="shared" si="5"/>
        <v>242.91670301639169</v>
      </c>
      <c r="I8" s="10"/>
      <c r="K8" s="10">
        <f t="shared" si="3"/>
        <v>242.91670301639186</v>
      </c>
      <c r="L8" s="10"/>
      <c r="M8" s="10"/>
      <c r="N8" s="10"/>
      <c r="O8" s="10"/>
      <c r="P8" s="10"/>
      <c r="Q8" s="10"/>
      <c r="R8" s="10"/>
      <c r="S8" s="13"/>
    </row>
    <row r="9" spans="1:23" x14ac:dyDescent="0.25">
      <c r="A9" s="6">
        <v>13</v>
      </c>
      <c r="B9" s="10">
        <v>366.1198</v>
      </c>
      <c r="C9" s="6">
        <f>750.215+224.759*Laskuri!$B$13-1.873*Laskuri!$B$13^2</f>
        <v>1827.1849999999997</v>
      </c>
      <c r="D9" s="10">
        <f>Työkaluvälilehti!$B$10*(A9-A8)*Työkaluvälilehti!$B$2</f>
        <v>2510.2560000000003</v>
      </c>
      <c r="E9" s="10">
        <f>D9-B9-C9</f>
        <v>316.95120000000065</v>
      </c>
      <c r="F9" s="10">
        <f t="shared" si="4"/>
        <v>1493.533842573469</v>
      </c>
      <c r="G9" s="10">
        <f t="shared" si="0"/>
        <v>1709.362186925915</v>
      </c>
      <c r="H9" s="10">
        <f t="shared" si="5"/>
        <v>215.82834435244604</v>
      </c>
      <c r="I9" s="10"/>
      <c r="K9" s="10">
        <f t="shared" si="3"/>
        <v>215.82834435244618</v>
      </c>
      <c r="L9" s="10"/>
      <c r="M9" s="10"/>
      <c r="N9" s="10"/>
      <c r="O9" s="10"/>
      <c r="P9" s="10"/>
      <c r="Q9" s="10"/>
      <c r="R9" s="10"/>
      <c r="S9" s="13"/>
    </row>
    <row r="10" spans="1:23" x14ac:dyDescent="0.25">
      <c r="A10" s="6">
        <v>17</v>
      </c>
      <c r="B10" s="10">
        <v>366.1198</v>
      </c>
      <c r="C10" s="6">
        <f>750.215+224.759*Laskuri!$B$13-1.873*Laskuri!$B$13^2</f>
        <v>1827.1849999999997</v>
      </c>
      <c r="D10" s="10">
        <f>Työkaluvälilehti!$B$10*(A10-A9)*Työkaluvälilehti!$B$2</f>
        <v>2510.2560000000003</v>
      </c>
      <c r="E10" s="10">
        <f t="shared" si="1"/>
        <v>316.95120000000065</v>
      </c>
      <c r="F10" s="10">
        <f t="shared" si="4"/>
        <v>1326.9854747502766</v>
      </c>
      <c r="G10" s="10">
        <f t="shared" si="0"/>
        <v>1518.7461632805123</v>
      </c>
      <c r="H10" s="10">
        <f t="shared" si="5"/>
        <v>191.76068853023571</v>
      </c>
      <c r="I10" s="10"/>
      <c r="K10" s="10">
        <f t="shared" si="3"/>
        <v>191.76068853023565</v>
      </c>
      <c r="L10" s="10"/>
      <c r="M10" s="10"/>
      <c r="N10" s="10"/>
      <c r="O10" s="10"/>
      <c r="P10" s="10"/>
      <c r="Q10" s="10"/>
      <c r="R10" s="10"/>
      <c r="S10" s="13"/>
    </row>
    <row r="11" spans="1:23" x14ac:dyDescent="0.25">
      <c r="A11" s="6">
        <v>21</v>
      </c>
      <c r="B11" s="10">
        <v>59</v>
      </c>
      <c r="C11" s="6">
        <f>750.215+224.759*Laskuri!$B$13-1.873*Laskuri!$B$13^2</f>
        <v>1827.1849999999997</v>
      </c>
      <c r="D11" s="10">
        <f>Työkaluvälilehti!$B$10*(A11-A10)*Työkaluvälilehti!$B$2</f>
        <v>2510.2560000000003</v>
      </c>
      <c r="E11" s="10">
        <f t="shared" si="1"/>
        <v>624.07100000000059</v>
      </c>
      <c r="F11" s="10">
        <f t="shared" si="4"/>
        <v>1013.9173809805361</v>
      </c>
      <c r="G11" s="10">
        <f t="shared" si="0"/>
        <v>1349.3862951463814</v>
      </c>
      <c r="H11" s="10">
        <f t="shared" si="5"/>
        <v>335.46891416584526</v>
      </c>
      <c r="I11" s="10"/>
      <c r="K11" s="10">
        <f t="shared" si="3"/>
        <v>335.46891416584526</v>
      </c>
      <c r="L11" s="10"/>
      <c r="M11" s="10"/>
      <c r="N11" s="10"/>
      <c r="O11" s="10"/>
      <c r="P11" s="10"/>
      <c r="Q11" s="10"/>
      <c r="R11" s="10"/>
      <c r="S11" s="13"/>
    </row>
    <row r="12" spans="1:23" x14ac:dyDescent="0.25">
      <c r="A12" s="6">
        <v>22</v>
      </c>
      <c r="B12" s="10">
        <v>400.56279999999998</v>
      </c>
      <c r="C12" s="6">
        <v>0</v>
      </c>
      <c r="D12" s="10">
        <v>0</v>
      </c>
      <c r="E12" s="10">
        <f t="shared" si="1"/>
        <v>-400.56279999999998</v>
      </c>
      <c r="F12" s="10">
        <f t="shared" si="4"/>
        <v>209.05072145253092</v>
      </c>
      <c r="G12" s="10">
        <f t="shared" si="0"/>
        <v>0</v>
      </c>
      <c r="H12" s="10">
        <f>G12-F12</f>
        <v>-209.05072145253092</v>
      </c>
      <c r="I12" s="10"/>
      <c r="K12" s="10">
        <f t="shared" si="3"/>
        <v>-209.05072145253092</v>
      </c>
      <c r="L12" s="10"/>
      <c r="M12" s="10"/>
      <c r="N12" s="10"/>
      <c r="O12" s="10"/>
      <c r="P12" s="10"/>
      <c r="Q12" s="10"/>
      <c r="R12" s="10"/>
      <c r="S12" s="13"/>
    </row>
    <row r="13" spans="1:23" x14ac:dyDescent="0.25">
      <c r="A13" s="6" t="s">
        <v>103</v>
      </c>
      <c r="B13" s="10" t="s">
        <v>96</v>
      </c>
      <c r="C13" s="6" t="s">
        <v>97</v>
      </c>
      <c r="D13" s="10" t="s">
        <v>98</v>
      </c>
      <c r="E13" s="10" t="s">
        <v>99</v>
      </c>
      <c r="F13" s="10" t="s">
        <v>100</v>
      </c>
      <c r="G13" s="10" t="s">
        <v>101</v>
      </c>
      <c r="H13" s="10" t="s">
        <v>102</v>
      </c>
      <c r="I13" s="10" t="s">
        <v>83</v>
      </c>
      <c r="K13" s="10"/>
      <c r="L13" s="10"/>
      <c r="M13" s="10"/>
      <c r="N13" s="10"/>
      <c r="O13" s="10"/>
      <c r="P13" s="10"/>
      <c r="Q13" s="10"/>
      <c r="R13" s="10"/>
    </row>
    <row r="14" spans="1:23" x14ac:dyDescent="0.25">
      <c r="B14" s="10">
        <f t="shared" ref="B14:H14" si="6">SUM(B5:B12)</f>
        <v>4670.7839999999997</v>
      </c>
      <c r="C14" s="10">
        <f t="shared" si="6"/>
        <v>9135.9249999999993</v>
      </c>
      <c r="D14" s="10">
        <f t="shared" si="6"/>
        <v>12551.280000000002</v>
      </c>
      <c r="E14" s="10">
        <f t="shared" si="6"/>
        <v>-1255.4289999999974</v>
      </c>
      <c r="F14" s="10">
        <f t="shared" si="6"/>
        <v>10359.576283559134</v>
      </c>
      <c r="G14" s="10">
        <f t="shared" si="6"/>
        <v>8666.7657228718472</v>
      </c>
      <c r="H14" s="10">
        <f t="shared" si="6"/>
        <v>-1692.8105606872862</v>
      </c>
      <c r="I14" s="10">
        <f>H14/(1-(1/(1+$B$1))^(A12))</f>
        <v>-3540.648418634325</v>
      </c>
      <c r="K14" s="10">
        <f>SUM(K5:K12)</f>
        <v>-1692.8105606872859</v>
      </c>
      <c r="L14" s="10"/>
      <c r="M14" s="10"/>
      <c r="N14" s="10"/>
      <c r="O14" s="10"/>
      <c r="P14" s="10"/>
      <c r="Q14" s="10"/>
      <c r="R14" s="10"/>
    </row>
    <row r="15" spans="1:23" x14ac:dyDescent="0.25">
      <c r="B15" s="10" t="s">
        <v>104</v>
      </c>
      <c r="C15" s="10">
        <v>1397.5694928126527</v>
      </c>
      <c r="D15" s="10"/>
      <c r="E15" s="10"/>
      <c r="F15" s="10"/>
      <c r="G15" s="10"/>
      <c r="H15" s="10"/>
      <c r="K15" s="10"/>
      <c r="L15" s="10"/>
      <c r="M15" s="10"/>
      <c r="N15" s="10"/>
      <c r="O15" s="10"/>
      <c r="P15" s="10"/>
      <c r="Q15" s="10"/>
      <c r="R15" s="10"/>
    </row>
    <row r="16" spans="1:23" x14ac:dyDescent="0.25">
      <c r="B16" s="10"/>
      <c r="C16" s="10"/>
      <c r="D16" s="10"/>
      <c r="E16" s="10"/>
      <c r="F16" s="10"/>
      <c r="G16" s="10"/>
      <c r="H16" s="10"/>
      <c r="K16" s="10"/>
      <c r="L16" s="10"/>
      <c r="M16" s="10"/>
      <c r="N16" s="10"/>
      <c r="O16" s="10"/>
      <c r="P16" s="10"/>
      <c r="Q16" s="10"/>
      <c r="R16" s="10"/>
    </row>
    <row r="17" spans="1:18" x14ac:dyDescent="0.25">
      <c r="B17" s="10"/>
      <c r="C17" s="10"/>
      <c r="D17" s="10"/>
      <c r="E17" s="10"/>
      <c r="F17" s="10"/>
      <c r="G17" s="10"/>
      <c r="H17" s="10"/>
      <c r="K17" s="10"/>
      <c r="L17" s="10"/>
      <c r="M17" s="10"/>
      <c r="N17" s="10"/>
      <c r="O17" s="10"/>
      <c r="P17" s="10"/>
      <c r="Q17" s="10"/>
      <c r="R17" s="10"/>
    </row>
    <row r="18" spans="1:18" x14ac:dyDescent="0.25">
      <c r="A18" s="6" t="s">
        <v>105</v>
      </c>
      <c r="B18" s="10"/>
      <c r="C18" s="10"/>
      <c r="D18" s="10"/>
      <c r="E18" s="10"/>
      <c r="F18" s="10"/>
      <c r="G18" s="10"/>
      <c r="H18" s="10"/>
      <c r="K18" s="10"/>
      <c r="L18" s="10"/>
      <c r="M18" s="10"/>
      <c r="N18" s="10"/>
      <c r="O18" s="10"/>
      <c r="P18" s="10"/>
      <c r="Q18" s="10"/>
      <c r="R18" s="10"/>
    </row>
    <row r="19" spans="1:18" x14ac:dyDescent="0.25">
      <c r="A19" s="6" t="s">
        <v>78</v>
      </c>
      <c r="B19" s="10" t="s">
        <v>96</v>
      </c>
      <c r="C19" s="6" t="s">
        <v>97</v>
      </c>
      <c r="D19" s="10" t="s">
        <v>98</v>
      </c>
      <c r="E19" s="10" t="s">
        <v>99</v>
      </c>
      <c r="F19" s="10" t="s">
        <v>100</v>
      </c>
      <c r="G19" s="10" t="s">
        <v>101</v>
      </c>
      <c r="H19" s="10" t="s">
        <v>102</v>
      </c>
      <c r="I19" s="10"/>
      <c r="K19" s="10"/>
      <c r="L19" s="10"/>
      <c r="M19" s="10"/>
      <c r="N19" s="10"/>
      <c r="O19" s="10"/>
      <c r="P19" s="10"/>
      <c r="Q19" s="10"/>
      <c r="R19" s="10"/>
    </row>
    <row r="20" spans="1:18" x14ac:dyDescent="0.25">
      <c r="A20" s="6">
        <v>0</v>
      </c>
      <c r="B20" s="10">
        <v>2707.34</v>
      </c>
      <c r="C20" s="6">
        <v>0</v>
      </c>
      <c r="D20" s="10">
        <v>0</v>
      </c>
      <c r="E20" s="10">
        <f>D20-B20-C20</f>
        <v>-2707.34</v>
      </c>
      <c r="F20" s="10">
        <f>B20/(1+$B$1)^$A20+C20/(1+$B$1)^$A20</f>
        <v>2707.34</v>
      </c>
      <c r="G20" s="10">
        <f t="shared" ref="G20:G27" si="7">D20/(1+$B$1)^$A20</f>
        <v>0</v>
      </c>
      <c r="H20" s="10">
        <f>G20-F20</f>
        <v>-2707.34</v>
      </c>
      <c r="I20" s="10"/>
      <c r="K20" s="10">
        <f>E20/(1+$B$1)^(A20)</f>
        <v>-2707.34</v>
      </c>
      <c r="L20" s="10"/>
      <c r="M20" s="10"/>
      <c r="N20" s="10"/>
      <c r="O20" s="10"/>
      <c r="P20" s="10"/>
      <c r="Q20" s="10"/>
      <c r="R20" s="10"/>
    </row>
    <row r="21" spans="1:18" x14ac:dyDescent="0.25">
      <c r="A21" s="6">
        <v>1</v>
      </c>
      <c r="B21" s="10">
        <v>320.15999999999997</v>
      </c>
      <c r="C21" s="6">
        <v>0</v>
      </c>
      <c r="D21" s="10">
        <v>0</v>
      </c>
      <c r="E21" s="10">
        <f t="shared" ref="E21:E27" si="8">D21-B21-C21</f>
        <v>-320.15999999999997</v>
      </c>
      <c r="F21" s="10">
        <f t="shared" ref="F21:F27" si="9">B21/(1+$B$1)^$A21+C21/(1+$B$1)^$A21</f>
        <v>310.83495145631065</v>
      </c>
      <c r="G21" s="10">
        <f t="shared" si="7"/>
        <v>0</v>
      </c>
      <c r="H21" s="10">
        <f>G21-F21</f>
        <v>-310.83495145631065</v>
      </c>
      <c r="I21" s="10"/>
      <c r="K21" s="10">
        <f t="shared" ref="K21:K27" si="10">E21/(1+$B$1)^(A21)</f>
        <v>-310.83495145631065</v>
      </c>
      <c r="L21" s="10"/>
      <c r="M21" s="10"/>
      <c r="N21" s="10"/>
      <c r="O21" s="10"/>
      <c r="P21" s="10"/>
      <c r="Q21" s="10"/>
      <c r="R21" s="10"/>
    </row>
    <row r="22" spans="1:18" x14ac:dyDescent="0.25">
      <c r="A22" s="6">
        <v>5</v>
      </c>
      <c r="B22" s="6">
        <v>441.2</v>
      </c>
      <c r="C22" s="6">
        <f>750.215+224.759*Laskuri!$B$13-1.873*Laskuri!$B$13^2</f>
        <v>1827.1849999999997</v>
      </c>
      <c r="D22" s="10">
        <f>Työkaluvälilehti!$B$10*(A22-A21)*Työkaluvälilehti!$B$2</f>
        <v>2510.2560000000003</v>
      </c>
      <c r="E22" s="10">
        <f>D22-B22-C22</f>
        <v>241.87100000000078</v>
      </c>
      <c r="F22" s="10">
        <f>B22/(1+$B$1)^$A22+C22/(1+$B$1)^$A22</f>
        <v>1956.7288273652719</v>
      </c>
      <c r="G22" s="10">
        <f t="shared" si="7"/>
        <v>2165.3688766530545</v>
      </c>
      <c r="H22" s="10">
        <f t="shared" ref="H22:H26" si="11">G22-F22</f>
        <v>208.64004928778263</v>
      </c>
      <c r="I22" s="10"/>
      <c r="K22" s="10">
        <f t="shared" si="10"/>
        <v>208.64004928778283</v>
      </c>
      <c r="L22" s="10"/>
      <c r="M22" s="10"/>
      <c r="N22" s="10"/>
      <c r="O22" s="10"/>
      <c r="P22" s="10"/>
      <c r="Q22" s="10"/>
      <c r="R22" s="10"/>
    </row>
    <row r="23" spans="1:18" x14ac:dyDescent="0.25">
      <c r="A23" s="6">
        <v>9</v>
      </c>
      <c r="B23" s="6">
        <v>441.2</v>
      </c>
      <c r="C23" s="6">
        <f>750.215+224.759*Laskuri!$B$13-1.873*Laskuri!$B$13^2</f>
        <v>1827.1849999999997</v>
      </c>
      <c r="D23" s="10">
        <f>Työkaluvälilehti!$B$10*(A23-A22)*Työkaluvälilehti!$B$2</f>
        <v>2510.2560000000003</v>
      </c>
      <c r="E23" s="10">
        <f>D23-B23-C23</f>
        <v>241.87100000000078</v>
      </c>
      <c r="F23" s="10">
        <f>B23/(1+$B$1)^$A23+C23/(1+$B$1)^$A23</f>
        <v>1738.528219397298</v>
      </c>
      <c r="G23" s="10">
        <f t="shared" si="7"/>
        <v>1923.9022008659838</v>
      </c>
      <c r="H23" s="10">
        <f t="shared" si="11"/>
        <v>185.37398146868577</v>
      </c>
      <c r="I23" s="10"/>
      <c r="K23" s="10">
        <f t="shared" si="10"/>
        <v>185.373981468686</v>
      </c>
      <c r="L23" s="10"/>
      <c r="M23" s="10"/>
      <c r="N23" s="10"/>
      <c r="O23" s="10"/>
      <c r="P23" s="10"/>
      <c r="Q23" s="10"/>
      <c r="R23" s="10"/>
    </row>
    <row r="24" spans="1:18" x14ac:dyDescent="0.25">
      <c r="A24" s="6">
        <v>13</v>
      </c>
      <c r="B24" s="6">
        <v>441.2</v>
      </c>
      <c r="C24" s="6">
        <f>750.215+224.759*Laskuri!$B$13-1.873*Laskuri!$B$13^2</f>
        <v>1827.1849999999997</v>
      </c>
      <c r="D24" s="10">
        <f>Työkaluvälilehti!$B$10*(A24-A23)*Työkaluvälilehti!$B$2</f>
        <v>2510.2560000000003</v>
      </c>
      <c r="E24" s="10">
        <f>D24-B24-C24</f>
        <v>241.87100000000078</v>
      </c>
      <c r="F24" s="10">
        <f>B24/(1+$B$1)^$A24+C24/(1+$B$1)^$A24</f>
        <v>1544.6598053704247</v>
      </c>
      <c r="G24" s="10">
        <f t="shared" si="7"/>
        <v>1709.362186925915</v>
      </c>
      <c r="H24" s="10">
        <f t="shared" si="11"/>
        <v>164.70238155549032</v>
      </c>
      <c r="I24" s="10"/>
      <c r="K24" s="10">
        <f t="shared" si="10"/>
        <v>164.70238155549046</v>
      </c>
      <c r="L24" s="10"/>
      <c r="M24" s="10"/>
      <c r="N24" s="10"/>
      <c r="O24" s="10"/>
      <c r="P24" s="10"/>
      <c r="Q24" s="10"/>
      <c r="R24" s="10"/>
    </row>
    <row r="25" spans="1:18" x14ac:dyDescent="0.25">
      <c r="A25" s="6">
        <v>17</v>
      </c>
      <c r="B25" s="6">
        <v>441.2</v>
      </c>
      <c r="C25" s="6">
        <f>750.215+224.759*Laskuri!$B$13-1.873*Laskuri!$B$13^2</f>
        <v>1827.1849999999997</v>
      </c>
      <c r="D25" s="10">
        <f>Työkaluvälilehti!$B$10*(A25-A24)*Työkaluvälilehti!$B$2</f>
        <v>2510.2560000000003</v>
      </c>
      <c r="E25" s="10">
        <f t="shared" si="8"/>
        <v>241.87100000000078</v>
      </c>
      <c r="F25" s="10">
        <f t="shared" si="9"/>
        <v>1372.4102305075912</v>
      </c>
      <c r="G25" s="10">
        <f t="shared" si="7"/>
        <v>1518.7461632805123</v>
      </c>
      <c r="H25" s="10">
        <f t="shared" si="11"/>
        <v>146.33593277292107</v>
      </c>
      <c r="I25" s="10"/>
      <c r="K25" s="10">
        <f t="shared" si="10"/>
        <v>146.33593277292113</v>
      </c>
      <c r="L25" s="10"/>
      <c r="M25" s="10"/>
      <c r="N25" s="10"/>
      <c r="O25" s="10"/>
      <c r="P25" s="10"/>
      <c r="Q25" s="10"/>
      <c r="R25" s="10"/>
    </row>
    <row r="26" spans="1:18" x14ac:dyDescent="0.25">
      <c r="A26" s="6">
        <v>21</v>
      </c>
      <c r="B26" s="10">
        <v>59</v>
      </c>
      <c r="C26" s="6">
        <f>750.215+224.759*Laskuri!$B$13-1.873*Laskuri!$B$13^2</f>
        <v>1827.1849999999997</v>
      </c>
      <c r="D26" s="10">
        <f>Työkaluvälilehti!$B$10*(A26-A25)*Työkaluvälilehti!$B$2</f>
        <v>2510.2560000000003</v>
      </c>
      <c r="E26" s="10">
        <f t="shared" si="8"/>
        <v>624.07100000000059</v>
      </c>
      <c r="F26" s="10">
        <f t="shared" si="9"/>
        <v>1013.9173809805361</v>
      </c>
      <c r="G26" s="10">
        <f t="shared" si="7"/>
        <v>1349.3862951463814</v>
      </c>
      <c r="H26" s="10">
        <f t="shared" si="11"/>
        <v>335.46891416584526</v>
      </c>
      <c r="I26" s="10"/>
      <c r="K26" s="10">
        <f t="shared" si="10"/>
        <v>335.46891416584526</v>
      </c>
      <c r="L26" s="10"/>
      <c r="M26" s="10"/>
      <c r="N26" s="10"/>
      <c r="O26" s="10"/>
      <c r="P26" s="10"/>
      <c r="Q26" s="10"/>
      <c r="R26" s="10"/>
    </row>
    <row r="27" spans="1:18" x14ac:dyDescent="0.25">
      <c r="A27" s="6">
        <v>22</v>
      </c>
      <c r="B27" s="10">
        <v>400.56279999999998</v>
      </c>
      <c r="C27" s="6">
        <v>0</v>
      </c>
      <c r="D27" s="10">
        <v>0</v>
      </c>
      <c r="E27" s="10">
        <f t="shared" si="8"/>
        <v>-400.56279999999998</v>
      </c>
      <c r="F27" s="10">
        <f t="shared" si="9"/>
        <v>209.05072145253092</v>
      </c>
      <c r="G27" s="10">
        <f t="shared" si="7"/>
        <v>0</v>
      </c>
      <c r="H27" s="10">
        <f>G27-F27</f>
        <v>-209.05072145253092</v>
      </c>
      <c r="I27" s="10"/>
      <c r="K27" s="10">
        <f t="shared" si="10"/>
        <v>-209.05072145253092</v>
      </c>
      <c r="L27" s="10"/>
      <c r="M27" s="10"/>
      <c r="N27" s="10"/>
      <c r="O27" s="10"/>
      <c r="P27" s="10"/>
      <c r="Q27" s="10"/>
      <c r="R27" s="10"/>
    </row>
    <row r="28" spans="1:18" x14ac:dyDescent="0.25">
      <c r="A28" s="6" t="s">
        <v>103</v>
      </c>
      <c r="B28" s="10" t="s">
        <v>96</v>
      </c>
      <c r="C28" s="6" t="s">
        <v>97</v>
      </c>
      <c r="D28" s="10" t="s">
        <v>98</v>
      </c>
      <c r="E28" s="10" t="s">
        <v>99</v>
      </c>
      <c r="F28" s="10" t="s">
        <v>100</v>
      </c>
      <c r="G28" s="10" t="s">
        <v>101</v>
      </c>
      <c r="H28" s="10" t="s">
        <v>102</v>
      </c>
      <c r="I28" s="10" t="s">
        <v>83</v>
      </c>
      <c r="K28" s="10"/>
      <c r="L28" s="10"/>
      <c r="M28" s="10"/>
      <c r="N28" s="10"/>
      <c r="O28" s="10"/>
      <c r="P28" s="10"/>
      <c r="Q28" s="10"/>
      <c r="R28" s="10"/>
    </row>
    <row r="29" spans="1:18" x14ac:dyDescent="0.25">
      <c r="B29" s="10">
        <f>SUM(B20:B27)</f>
        <v>5251.862799999999</v>
      </c>
      <c r="C29" s="10">
        <f>SUM(C20:C27)</f>
        <v>9135.9249999999993</v>
      </c>
      <c r="D29" s="10">
        <f>SUM(D20:D27)</f>
        <v>12551.280000000002</v>
      </c>
      <c r="E29" s="10">
        <f t="shared" ref="E29" si="12">SUM(E20:E27)</f>
        <v>-1836.5077999999953</v>
      </c>
      <c r="F29" s="10">
        <f>SUM(F20:F27)</f>
        <v>10853.470136529962</v>
      </c>
      <c r="G29" s="10">
        <f t="shared" ref="G29" si="13">SUM(G20:G27)</f>
        <v>8666.7657228718472</v>
      </c>
      <c r="H29" s="10">
        <f>SUM(H20:H27)</f>
        <v>-2186.7044136581158</v>
      </c>
      <c r="I29" s="10">
        <f>H29/(1-(1/(1+$B$1))^(A27))</f>
        <v>-4573.6668378863897</v>
      </c>
      <c r="K29" s="10">
        <f>SUM(K20:K27)</f>
        <v>-2186.7044136581158</v>
      </c>
      <c r="L29" s="10"/>
      <c r="M29" s="10"/>
      <c r="N29" s="10"/>
      <c r="O29" s="10"/>
      <c r="P29" s="10"/>
      <c r="Q29" s="10"/>
      <c r="R29" s="10"/>
    </row>
    <row r="30" spans="1:18" x14ac:dyDescent="0.25">
      <c r="B30" s="10" t="s">
        <v>104</v>
      </c>
      <c r="C30" s="10">
        <v>1436.0586439748142</v>
      </c>
      <c r="D30" s="10"/>
      <c r="E30" s="10"/>
      <c r="F30" s="10"/>
      <c r="G30" s="10"/>
      <c r="H30" s="10"/>
      <c r="L30" s="10"/>
      <c r="M30" s="10"/>
      <c r="N30" s="10"/>
      <c r="O30" s="10"/>
      <c r="P30" s="10"/>
      <c r="Q30" s="10"/>
      <c r="R30" s="10"/>
    </row>
    <row r="31" spans="1:18" x14ac:dyDescent="0.25">
      <c r="A31" s="6" t="s">
        <v>106</v>
      </c>
      <c r="B31" s="10"/>
      <c r="C31" s="10"/>
      <c r="D31" s="10"/>
      <c r="E31" s="10"/>
      <c r="F31" s="10"/>
      <c r="G31" s="10"/>
      <c r="H31" s="10"/>
      <c r="L31" s="10"/>
      <c r="M31" s="10"/>
      <c r="N31" s="10"/>
      <c r="O31" s="10"/>
      <c r="P31" s="10"/>
      <c r="Q31" s="10"/>
      <c r="R31" s="10"/>
    </row>
    <row r="32" spans="1:18" x14ac:dyDescent="0.25">
      <c r="A32" s="6" t="s">
        <v>78</v>
      </c>
      <c r="B32" s="10" t="s">
        <v>107</v>
      </c>
      <c r="C32" s="10" t="s">
        <v>98</v>
      </c>
      <c r="D32" s="10" t="s">
        <v>99</v>
      </c>
      <c r="E32" s="10" t="s">
        <v>100</v>
      </c>
      <c r="F32" s="10" t="s">
        <v>101</v>
      </c>
      <c r="G32" s="10" t="s">
        <v>102</v>
      </c>
      <c r="H32" s="10"/>
      <c r="L32" s="10"/>
      <c r="M32" s="10"/>
      <c r="N32" s="10"/>
      <c r="O32" s="10"/>
      <c r="P32" s="10"/>
      <c r="Q32" s="10"/>
      <c r="R32" s="10"/>
    </row>
    <row r="33" spans="1:18" x14ac:dyDescent="0.25">
      <c r="A33" s="6">
        <v>0</v>
      </c>
      <c r="B33" s="10">
        <v>370</v>
      </c>
      <c r="C33" s="10">
        <v>0</v>
      </c>
      <c r="D33" s="10">
        <f>C33-B33</f>
        <v>-370</v>
      </c>
      <c r="E33" s="10">
        <f>B33/(1+$B$1)^$A33</f>
        <v>370</v>
      </c>
      <c r="F33" s="10">
        <f>C33/(1+$B$1)^$A33</f>
        <v>0</v>
      </c>
      <c r="G33" s="10">
        <f>F33-E33</f>
        <v>-370</v>
      </c>
      <c r="H33" s="10"/>
      <c r="L33" s="10"/>
      <c r="M33" s="10"/>
      <c r="N33" s="10"/>
      <c r="O33" s="10"/>
      <c r="P33" s="10"/>
      <c r="Q33" s="10"/>
      <c r="R33" s="10"/>
    </row>
    <row r="34" spans="1:18" x14ac:dyDescent="0.25">
      <c r="A34" s="6">
        <v>22</v>
      </c>
      <c r="B34" s="10">
        <v>4633.3675838602585</v>
      </c>
      <c r="C34" s="10" t="e">
        <f>Työkaluvälilehti!$B$2*('3 % korko'!A34-'3 % korko'!A33)*Työkaluvälilehti!$B$11</f>
        <v>#REF!</v>
      </c>
      <c r="D34" s="10" t="e">
        <f t="shared" ref="D34:D36" si="14">C34-B34</f>
        <v>#REF!</v>
      </c>
      <c r="E34" s="10">
        <f>B34/(1+$B$1)^$A34</f>
        <v>2418.119795849133</v>
      </c>
      <c r="F34" s="10" t="e">
        <f t="shared" ref="F34:F36" si="15">C34/(1+$B$1)^$A34</f>
        <v>#REF!</v>
      </c>
      <c r="G34" s="10" t="e">
        <f>F34-E34</f>
        <v>#REF!</v>
      </c>
      <c r="H34" s="10"/>
      <c r="L34" s="10"/>
      <c r="M34" s="10"/>
      <c r="N34" s="10"/>
      <c r="O34" s="10"/>
      <c r="P34" s="10"/>
      <c r="Q34" s="10"/>
      <c r="R34" s="10"/>
    </row>
    <row r="35" spans="1:18" x14ac:dyDescent="0.25">
      <c r="A35" s="6">
        <v>43</v>
      </c>
      <c r="B35" s="10">
        <v>4633.3675838602585</v>
      </c>
      <c r="C35" s="10" t="e">
        <f>Työkaluvälilehti!$B$2*('3 % korko'!A35-'3 % korko'!A34)*Työkaluvälilehti!$B$11</f>
        <v>#REF!</v>
      </c>
      <c r="D35" s="10" t="e">
        <f t="shared" si="14"/>
        <v>#REF!</v>
      </c>
      <c r="E35" s="10">
        <f t="shared" ref="E35:E36" si="16">B35/(1+$B$1)^$A35</f>
        <v>1299.8585453200728</v>
      </c>
      <c r="F35" s="10" t="e">
        <f t="shared" si="15"/>
        <v>#REF!</v>
      </c>
      <c r="G35" s="10" t="e">
        <f t="shared" ref="G35:G36" si="17">F35-E35</f>
        <v>#REF!</v>
      </c>
      <c r="H35" s="10"/>
      <c r="L35" s="10"/>
      <c r="M35" s="10"/>
      <c r="N35" s="10"/>
      <c r="O35" s="10"/>
      <c r="P35" s="10"/>
      <c r="Q35" s="10"/>
      <c r="R35" s="10"/>
    </row>
    <row r="36" spans="1:18" x14ac:dyDescent="0.25">
      <c r="A36" s="6">
        <v>64</v>
      </c>
      <c r="B36" s="10">
        <v>5114.3867476233245</v>
      </c>
      <c r="C36" s="10" t="e">
        <f>Työkaluvälilehti!$B$2*('3 % korko'!A36-'3 % korko'!A35)*Työkaluvälilehti!$B$11</f>
        <v>#REF!</v>
      </c>
      <c r="D36" s="10" t="e">
        <f t="shared" si="14"/>
        <v>#REF!</v>
      </c>
      <c r="E36" s="10">
        <f t="shared" si="16"/>
        <v>771.27842847638271</v>
      </c>
      <c r="F36" s="10" t="e">
        <f t="shared" si="15"/>
        <v>#REF!</v>
      </c>
      <c r="G36" s="10" t="e">
        <f t="shared" si="17"/>
        <v>#REF!</v>
      </c>
      <c r="H36" s="10"/>
      <c r="L36" s="10"/>
      <c r="M36" s="10"/>
      <c r="N36" s="10"/>
      <c r="O36" s="10"/>
      <c r="P36" s="10"/>
      <c r="Q36" s="10"/>
      <c r="R36" s="10"/>
    </row>
    <row r="37" spans="1:18" x14ac:dyDescent="0.25">
      <c r="A37" s="6">
        <v>86</v>
      </c>
      <c r="B37" s="10">
        <v>4633.3675838602585</v>
      </c>
      <c r="C37" s="10" t="e">
        <f>Työkaluvälilehti!$B$2*('3 % korko'!A37-'3 % korko'!A36)*Työkaluvälilehti!$B$11</f>
        <v>#REF!</v>
      </c>
      <c r="D37" s="10" t="e">
        <f>C37-B37</f>
        <v>#REF!</v>
      </c>
      <c r="E37" s="10">
        <f>B37/(1+$B$1)^$A37</f>
        <v>364.6661326261343</v>
      </c>
      <c r="F37" s="10" t="e">
        <f>C37/(1+$B$1)^$A37</f>
        <v>#REF!</v>
      </c>
      <c r="G37" s="10" t="e">
        <f>F37-E37</f>
        <v>#REF!</v>
      </c>
      <c r="H37" s="10"/>
      <c r="L37" s="10"/>
      <c r="M37" s="10"/>
      <c r="N37" s="10"/>
      <c r="O37" s="10"/>
      <c r="P37" s="10"/>
      <c r="Q37" s="10"/>
      <c r="R37" s="10"/>
    </row>
    <row r="38" spans="1:18" x14ac:dyDescent="0.25">
      <c r="A38" s="6" t="s">
        <v>103</v>
      </c>
      <c r="B38" s="10" t="s">
        <v>107</v>
      </c>
      <c r="C38" s="10" t="s">
        <v>98</v>
      </c>
      <c r="D38" s="10" t="s">
        <v>99</v>
      </c>
      <c r="E38" s="10" t="s">
        <v>100</v>
      </c>
      <c r="F38" s="10" t="s">
        <v>101</v>
      </c>
      <c r="G38" s="10" t="s">
        <v>102</v>
      </c>
      <c r="H38" s="10" t="s">
        <v>83</v>
      </c>
      <c r="L38" s="10"/>
      <c r="M38" s="10"/>
      <c r="N38" s="10"/>
      <c r="O38" s="10"/>
      <c r="P38" s="10"/>
      <c r="Q38" s="10"/>
      <c r="R38" s="10"/>
    </row>
    <row r="39" spans="1:18" x14ac:dyDescent="0.25">
      <c r="B39" s="10">
        <f t="shared" ref="B39:G39" si="18">SUM(B33:B37)</f>
        <v>19384.489499204101</v>
      </c>
      <c r="C39" s="10" t="e">
        <f t="shared" si="18"/>
        <v>#REF!</v>
      </c>
      <c r="D39" s="10" t="e">
        <f t="shared" si="18"/>
        <v>#REF!</v>
      </c>
      <c r="E39" s="10">
        <f t="shared" si="18"/>
        <v>5223.9229022717236</v>
      </c>
      <c r="F39" s="10" t="e">
        <f t="shared" si="18"/>
        <v>#REF!</v>
      </c>
      <c r="G39" s="10" t="e">
        <f t="shared" si="18"/>
        <v>#REF!</v>
      </c>
      <c r="H39" s="10" t="e">
        <f>G33+G34+G35+G36+G37/(1-EXP(-$B$1*A37))</f>
        <v>#REF!</v>
      </c>
      <c r="L39" s="10"/>
      <c r="M39" s="10"/>
      <c r="N39" s="10"/>
      <c r="O39" s="10"/>
      <c r="P39" s="10"/>
      <c r="Q39" s="10"/>
      <c r="R39" s="10"/>
    </row>
    <row r="40" spans="1:18" x14ac:dyDescent="0.25">
      <c r="B40" s="10"/>
      <c r="C40" s="10"/>
      <c r="D40" s="10"/>
      <c r="E40" s="10"/>
      <c r="F40" s="10"/>
      <c r="G40" s="10"/>
      <c r="H40" s="10"/>
      <c r="L40" s="10"/>
      <c r="M40" s="10"/>
      <c r="N40" s="10"/>
      <c r="O40" s="10"/>
      <c r="P40" s="10"/>
      <c r="Q40" s="10"/>
      <c r="R40" s="10"/>
    </row>
    <row r="41" spans="1:18" x14ac:dyDescent="0.25">
      <c r="B41" s="10"/>
      <c r="C41" s="10"/>
      <c r="D41" s="10"/>
      <c r="E41" s="10"/>
      <c r="F41" s="10"/>
      <c r="G41" s="10"/>
      <c r="H41" s="10"/>
      <c r="L41" s="10"/>
      <c r="M41" s="10"/>
      <c r="N41" s="10"/>
      <c r="O41" s="10"/>
      <c r="P41" s="10"/>
      <c r="Q41" s="10"/>
      <c r="R41" s="10"/>
    </row>
    <row r="42" spans="1:18" x14ac:dyDescent="0.25">
      <c r="B42" s="10" t="s">
        <v>104</v>
      </c>
      <c r="C42" s="10">
        <v>2803.0909820774596</v>
      </c>
      <c r="D42" s="10"/>
      <c r="E42" s="10"/>
      <c r="F42" s="10"/>
      <c r="G42" s="10"/>
      <c r="H42" s="10"/>
      <c r="L42" s="10"/>
      <c r="M42" s="10"/>
      <c r="N42" s="10"/>
      <c r="O42" s="10"/>
      <c r="P42" s="10"/>
      <c r="Q42" s="10"/>
      <c r="R42" s="10"/>
    </row>
    <row r="43" spans="1:18" x14ac:dyDescent="0.25">
      <c r="A43" s="1" t="s">
        <v>126</v>
      </c>
      <c r="B43" s="10"/>
      <c r="C43" s="10"/>
      <c r="D43" s="10"/>
      <c r="E43" s="10"/>
      <c r="F43" s="10"/>
      <c r="G43" s="10"/>
      <c r="H43" s="10"/>
      <c r="L43" s="10"/>
      <c r="M43" s="10"/>
      <c r="N43" s="10"/>
      <c r="O43" s="10"/>
      <c r="P43" s="10"/>
      <c r="Q43" s="10"/>
      <c r="R43" s="10"/>
    </row>
    <row r="44" spans="1:18" x14ac:dyDescent="0.25">
      <c r="A44" s="6" t="s">
        <v>78</v>
      </c>
      <c r="B44" s="10" t="s">
        <v>107</v>
      </c>
      <c r="C44" s="10" t="s">
        <v>98</v>
      </c>
      <c r="D44" s="10" t="s">
        <v>99</v>
      </c>
      <c r="E44" s="10" t="s">
        <v>100</v>
      </c>
      <c r="F44" s="10" t="s">
        <v>101</v>
      </c>
      <c r="G44" s="10" t="s">
        <v>102</v>
      </c>
      <c r="H44" s="10"/>
      <c r="L44" s="10"/>
      <c r="M44" s="10"/>
      <c r="N44" s="10"/>
      <c r="O44" s="10"/>
      <c r="P44" s="10"/>
      <c r="Q44" s="10"/>
      <c r="R44" s="10"/>
    </row>
    <row r="45" spans="1:18" x14ac:dyDescent="0.25">
      <c r="A45" s="6">
        <v>0</v>
      </c>
      <c r="B45" s="10">
        <v>1241.0517070707067</v>
      </c>
      <c r="C45" s="10">
        <v>0</v>
      </c>
      <c r="D45" s="10">
        <f>C45-B45</f>
        <v>-1241.0517070707067</v>
      </c>
      <c r="E45" s="10">
        <f>B45/(1+$B$1)^$A45</f>
        <v>1241.0517070707067</v>
      </c>
      <c r="F45" s="10">
        <f>C45/(1+$B$1)^$A45</f>
        <v>0</v>
      </c>
      <c r="G45" s="10">
        <f>F45-E45</f>
        <v>-1241.0517070707067</v>
      </c>
      <c r="H45" s="10"/>
      <c r="L45" s="10"/>
      <c r="M45" s="10"/>
      <c r="N45" s="10"/>
      <c r="O45" s="10"/>
      <c r="P45" s="10"/>
      <c r="Q45" s="10"/>
      <c r="R45" s="10"/>
    </row>
    <row r="46" spans="1:18" x14ac:dyDescent="0.25">
      <c r="A46" s="6">
        <v>1</v>
      </c>
      <c r="B46" s="10">
        <v>88.968222222222209</v>
      </c>
      <c r="C46" s="10">
        <v>0</v>
      </c>
      <c r="D46" s="10">
        <f t="shared" ref="D46:D48" si="19">C46-B46</f>
        <v>-88.968222222222209</v>
      </c>
      <c r="E46" s="10">
        <f>B46/(1+$B$1)^$A46</f>
        <v>86.376914778856516</v>
      </c>
      <c r="F46" s="10">
        <f t="shared" ref="F46:F48" si="20">C46/(1+$B$1)^$A46</f>
        <v>0</v>
      </c>
      <c r="G46" s="10">
        <f>F46-E46</f>
        <v>-86.376914778856516</v>
      </c>
      <c r="H46" s="10"/>
      <c r="L46" s="10"/>
      <c r="M46" s="10"/>
      <c r="N46" s="10"/>
      <c r="O46" s="10"/>
      <c r="P46" s="10"/>
      <c r="Q46" s="10"/>
      <c r="R46" s="10"/>
    </row>
    <row r="47" spans="1:18" x14ac:dyDescent="0.25">
      <c r="A47" s="6">
        <v>2</v>
      </c>
      <c r="B47" s="10">
        <v>742.82444444444434</v>
      </c>
      <c r="C47" s="10">
        <f>Työkaluvälilehti!$B$12*(A47-A46)*Työkaluvälilehti!$B$7</f>
        <v>1236</v>
      </c>
      <c r="D47" s="10">
        <f t="shared" si="19"/>
        <v>493.17555555555566</v>
      </c>
      <c r="E47" s="10">
        <f t="shared" ref="E47:F54" si="21">B47/(1+$B$1)^$A47</f>
        <v>700.18328253788707</v>
      </c>
      <c r="F47" s="10">
        <f t="shared" si="20"/>
        <v>1165.0485436893205</v>
      </c>
      <c r="G47" s="10">
        <f t="shared" ref="G47:G48" si="22">F47-E47</f>
        <v>464.8652611514334</v>
      </c>
      <c r="H47" s="10"/>
      <c r="L47" s="10"/>
      <c r="M47" s="10"/>
      <c r="N47" s="10"/>
      <c r="O47" s="10"/>
      <c r="P47" s="10"/>
      <c r="Q47" s="10"/>
      <c r="R47" s="10"/>
    </row>
    <row r="48" spans="1:18" x14ac:dyDescent="0.25">
      <c r="A48" s="6">
        <v>3</v>
      </c>
      <c r="B48" s="10">
        <v>742.82444444444434</v>
      </c>
      <c r="C48" s="10">
        <f>Työkaluvälilehti!$B$12*(A48-A47)*Työkaluvälilehti!$B$7</f>
        <v>1236</v>
      </c>
      <c r="D48" s="10">
        <f t="shared" si="19"/>
        <v>493.17555555555566</v>
      </c>
      <c r="E48" s="10">
        <f t="shared" si="21"/>
        <v>679.7895946969777</v>
      </c>
      <c r="F48" s="10">
        <f t="shared" si="20"/>
        <v>1131.1150909605053</v>
      </c>
      <c r="G48" s="10">
        <f t="shared" si="22"/>
        <v>451.32549626352761</v>
      </c>
      <c r="H48" s="10"/>
      <c r="L48" s="10"/>
      <c r="M48" s="10"/>
      <c r="N48" s="10"/>
      <c r="O48" s="10"/>
      <c r="P48" s="10"/>
      <c r="Q48" s="10"/>
      <c r="R48" s="10"/>
    </row>
    <row r="49" spans="1:18" x14ac:dyDescent="0.25">
      <c r="A49" s="6">
        <v>4</v>
      </c>
      <c r="B49" s="10">
        <v>742.82444444444434</v>
      </c>
      <c r="C49" s="10">
        <f>Työkaluvälilehti!$B$12*(A49-A48)*Työkaluvälilehti!$B$7</f>
        <v>1236</v>
      </c>
      <c r="D49" s="10">
        <f>C49-B49</f>
        <v>493.17555555555566</v>
      </c>
      <c r="E49" s="10">
        <f t="shared" si="21"/>
        <v>659.98989776405608</v>
      </c>
      <c r="F49" s="10">
        <f t="shared" si="21"/>
        <v>1098.1699912237916</v>
      </c>
      <c r="G49" s="10">
        <f>F49-E49</f>
        <v>438.18009345973553</v>
      </c>
      <c r="H49" s="10"/>
      <c r="L49" s="10"/>
      <c r="M49" s="10"/>
      <c r="N49" s="10"/>
      <c r="O49" s="10"/>
      <c r="P49" s="10"/>
      <c r="Q49" s="10"/>
      <c r="R49" s="10"/>
    </row>
    <row r="50" spans="1:18" x14ac:dyDescent="0.25">
      <c r="A50" s="6">
        <v>5</v>
      </c>
      <c r="B50" s="10">
        <v>742.82444444444434</v>
      </c>
      <c r="C50" s="10">
        <f>Työkaluvälilehti!$B$12*(A50-A49)*Työkaluvälilehti!$B$7</f>
        <v>1236</v>
      </c>
      <c r="D50" s="10">
        <f>C50-B50</f>
        <v>493.17555555555566</v>
      </c>
      <c r="E50" s="10">
        <f t="shared" si="21"/>
        <v>640.76689103306421</v>
      </c>
      <c r="F50" s="10">
        <f t="shared" si="21"/>
        <v>1066.1844574988268</v>
      </c>
      <c r="G50" s="10">
        <f>F50-E50</f>
        <v>425.41756646576255</v>
      </c>
      <c r="H50" s="10"/>
      <c r="L50" s="10"/>
      <c r="M50" s="10"/>
      <c r="N50" s="10"/>
      <c r="O50" s="10"/>
      <c r="P50" s="10"/>
      <c r="Q50" s="10"/>
      <c r="R50" s="10"/>
    </row>
    <row r="51" spans="1:18" x14ac:dyDescent="0.25">
      <c r="A51" s="6">
        <v>6</v>
      </c>
      <c r="B51" s="10">
        <v>742.82444444444434</v>
      </c>
      <c r="C51" s="10">
        <f>Työkaluvälilehti!$B$12*(A51-A50)*Työkaluvälilehti!$B$7</f>
        <v>1236</v>
      </c>
      <c r="D51" s="10">
        <f>C51-B51</f>
        <v>493.17555555555566</v>
      </c>
      <c r="E51" s="10">
        <f t="shared" si="21"/>
        <v>622.10377770200398</v>
      </c>
      <c r="F51" s="10">
        <f t="shared" si="21"/>
        <v>1035.1305412609968</v>
      </c>
      <c r="G51" s="10">
        <f>F51-E51</f>
        <v>413.0267635589928</v>
      </c>
      <c r="H51" s="10"/>
      <c r="L51" s="10"/>
      <c r="M51" s="10"/>
      <c r="N51" s="10"/>
      <c r="O51" s="10"/>
      <c r="P51" s="10"/>
      <c r="Q51" s="10"/>
      <c r="R51" s="10"/>
    </row>
    <row r="52" spans="1:18" x14ac:dyDescent="0.25">
      <c r="A52" s="6">
        <v>7</v>
      </c>
      <c r="B52" s="10">
        <v>742.82444444444434</v>
      </c>
      <c r="C52" s="10">
        <f>Työkaluvälilehti!$B$12*(A52-A51)*Työkaluvälilehti!$B$7</f>
        <v>1236</v>
      </c>
      <c r="D52" s="10">
        <f t="shared" ref="D52:D53" si="23">C52-B52</f>
        <v>493.17555555555566</v>
      </c>
      <c r="E52" s="10">
        <f>B52/(1+$B$1)^$A52</f>
        <v>603.98425019612034</v>
      </c>
      <c r="F52" s="10">
        <f t="shared" si="21"/>
        <v>1004.9811080203852</v>
      </c>
      <c r="G52" s="10">
        <f>F52-E52</f>
        <v>400.99685782426491</v>
      </c>
      <c r="H52" s="10"/>
      <c r="L52" s="10"/>
      <c r="M52" s="10"/>
      <c r="N52" s="10"/>
      <c r="O52" s="10"/>
      <c r="P52" s="10"/>
      <c r="Q52" s="10"/>
      <c r="R52" s="10"/>
    </row>
    <row r="53" spans="1:18" x14ac:dyDescent="0.25">
      <c r="A53" s="6">
        <v>8</v>
      </c>
      <c r="B53" s="10">
        <v>742.82444444444434</v>
      </c>
      <c r="C53" s="10">
        <f>Työkaluvälilehti!$B$12*(A53-A52)*Työkaluvälilehti!$B$7</f>
        <v>1236</v>
      </c>
      <c r="D53" s="10">
        <f t="shared" si="23"/>
        <v>493.17555555555566</v>
      </c>
      <c r="E53" s="10">
        <f t="shared" ref="E53" si="24">B53/(1+$B$1)^$A53</f>
        <v>586.39247591856349</v>
      </c>
      <c r="F53" s="10">
        <f t="shared" si="21"/>
        <v>975.70981361202462</v>
      </c>
      <c r="G53" s="10">
        <f t="shared" ref="G53:G54" si="25">F53-E53</f>
        <v>389.31733769346113</v>
      </c>
      <c r="H53" s="10"/>
      <c r="L53" s="10"/>
      <c r="M53" s="10"/>
      <c r="N53" s="10"/>
      <c r="O53" s="10"/>
      <c r="P53" s="10"/>
      <c r="Q53" s="10"/>
      <c r="R53" s="10"/>
    </row>
    <row r="54" spans="1:18" x14ac:dyDescent="0.25">
      <c r="A54" s="6">
        <v>9</v>
      </c>
      <c r="B54" s="10">
        <v>742.82444444444434</v>
      </c>
      <c r="C54" s="10">
        <f>Työkaluvälilehti!$B$12*(A54-A53)*Työkaluvälilehti!$B$7</f>
        <v>1236</v>
      </c>
      <c r="D54" s="10">
        <f>C54-B54</f>
        <v>493.17555555555566</v>
      </c>
      <c r="E54" s="10">
        <f>B54/(1+$B$1)^$A54</f>
        <v>569.3130834160811</v>
      </c>
      <c r="F54" s="10">
        <f t="shared" si="21"/>
        <v>947.29108117672286</v>
      </c>
      <c r="G54" s="10">
        <f t="shared" si="25"/>
        <v>377.97799776064176</v>
      </c>
      <c r="H54" s="10"/>
      <c r="L54" s="10"/>
      <c r="M54" s="10"/>
      <c r="N54" s="10"/>
      <c r="O54" s="10"/>
      <c r="P54" s="10"/>
      <c r="Q54" s="10"/>
      <c r="R54" s="10"/>
    </row>
    <row r="55" spans="1:18" x14ac:dyDescent="0.25">
      <c r="A55" s="6">
        <v>10</v>
      </c>
      <c r="B55" s="10">
        <v>773.1708010335916</v>
      </c>
      <c r="C55" s="10">
        <f>Työkaluvälilehti!$B$12*(A55-A54)*Työkaluvälilehti!$B$7</f>
        <v>1236</v>
      </c>
      <c r="D55" s="10">
        <f>C55-B55</f>
        <v>462.8291989664084</v>
      </c>
      <c r="E55" s="10">
        <f>B55/(1+$B$1)^$A55</f>
        <v>575.31168822492214</v>
      </c>
      <c r="F55" s="10">
        <f>C55/(1+$B$1)^$A55</f>
        <v>919.70007881235233</v>
      </c>
      <c r="G55" s="10">
        <f>F55-E55</f>
        <v>344.38839058743019</v>
      </c>
      <c r="H55" s="10"/>
      <c r="L55" s="10"/>
      <c r="M55" s="10"/>
      <c r="N55" s="10"/>
      <c r="O55" s="10"/>
      <c r="P55" s="10"/>
      <c r="Q55" s="10"/>
      <c r="R55" s="10"/>
    </row>
    <row r="56" spans="1:18" x14ac:dyDescent="0.25">
      <c r="A56" s="6" t="s">
        <v>103</v>
      </c>
      <c r="B56" s="10" t="s">
        <v>107</v>
      </c>
      <c r="C56" s="10" t="s">
        <v>98</v>
      </c>
      <c r="D56" s="10" t="s">
        <v>99</v>
      </c>
      <c r="E56" s="10" t="s">
        <v>100</v>
      </c>
      <c r="F56" s="10" t="s">
        <v>101</v>
      </c>
      <c r="G56" s="10" t="s">
        <v>102</v>
      </c>
      <c r="H56" s="10" t="s">
        <v>83</v>
      </c>
      <c r="L56" s="10"/>
      <c r="M56" s="10"/>
      <c r="N56" s="10"/>
      <c r="O56" s="10"/>
      <c r="P56" s="10"/>
      <c r="Q56" s="10"/>
      <c r="R56" s="10"/>
    </row>
    <row r="57" spans="1:18" x14ac:dyDescent="0.25">
      <c r="B57" s="10">
        <f>SUM(B45:B55)</f>
        <v>8045.7862858820754</v>
      </c>
      <c r="C57" s="10">
        <f t="shared" ref="C57" si="26">SUM(C45:C55)</f>
        <v>11124</v>
      </c>
      <c r="D57" s="10">
        <f>SUM(D45:D55)</f>
        <v>3078.2137141179246</v>
      </c>
      <c r="E57" s="10">
        <f>SUM(E45:E55)</f>
        <v>6965.2635633392392</v>
      </c>
      <c r="F57" s="10">
        <f>SUM(F45:F55)</f>
        <v>9343.3307062549247</v>
      </c>
      <c r="G57" s="10">
        <f>SUM(G45:G55)</f>
        <v>2378.0671429156864</v>
      </c>
      <c r="H57" s="10">
        <f>G57/(1-(1/(1+$B$1))^(A55))</f>
        <v>9292.7338635030101</v>
      </c>
      <c r="L57" s="10"/>
      <c r="M57" s="10"/>
      <c r="N57" s="10"/>
      <c r="O57" s="10"/>
      <c r="P57" s="10"/>
      <c r="Q57" s="10"/>
      <c r="R57" s="10"/>
    </row>
    <row r="58" spans="1:18" x14ac:dyDescent="0.25">
      <c r="B58" s="10" t="s">
        <v>104</v>
      </c>
      <c r="C58" s="10">
        <v>1641.4215478428662</v>
      </c>
      <c r="D58" s="10"/>
      <c r="E58" s="10"/>
      <c r="F58" s="10"/>
      <c r="G58" s="10"/>
      <c r="H58" s="10"/>
      <c r="L58" s="10"/>
      <c r="M58" s="10"/>
      <c r="N58" s="10"/>
      <c r="O58" s="10"/>
      <c r="P58" s="10"/>
      <c r="Q58" s="10"/>
      <c r="R58" s="10"/>
    </row>
    <row r="59" spans="1:18" x14ac:dyDescent="0.25">
      <c r="A59" s="1" t="s">
        <v>127</v>
      </c>
      <c r="B59" s="10"/>
      <c r="C59" s="10"/>
      <c r="D59" s="10"/>
      <c r="E59" s="10"/>
      <c r="F59" s="10"/>
      <c r="G59" s="10"/>
      <c r="H59" s="10"/>
      <c r="L59" s="10"/>
      <c r="M59" s="10"/>
      <c r="N59" s="10"/>
      <c r="O59" s="10"/>
      <c r="P59" s="10"/>
      <c r="Q59" s="10"/>
      <c r="R59" s="10"/>
    </row>
    <row r="60" spans="1:18" x14ac:dyDescent="0.25">
      <c r="A60" s="6" t="s">
        <v>78</v>
      </c>
      <c r="B60" s="10" t="s">
        <v>107</v>
      </c>
      <c r="C60" s="10" t="s">
        <v>98</v>
      </c>
      <c r="D60" s="10" t="s">
        <v>99</v>
      </c>
      <c r="E60" s="10" t="s">
        <v>100</v>
      </c>
      <c r="F60" s="10" t="s">
        <v>101</v>
      </c>
      <c r="G60" s="10" t="s">
        <v>102</v>
      </c>
      <c r="H60" s="10"/>
      <c r="L60" s="10"/>
      <c r="M60" s="10"/>
      <c r="N60" s="10"/>
      <c r="O60" s="10"/>
      <c r="P60" s="10"/>
      <c r="Q60" s="10"/>
      <c r="R60" s="10"/>
    </row>
    <row r="61" spans="1:18" x14ac:dyDescent="0.25">
      <c r="A61" s="6">
        <v>0</v>
      </c>
      <c r="B61" s="10">
        <v>1757.8130404040403</v>
      </c>
      <c r="C61" s="10">
        <v>0</v>
      </c>
      <c r="D61" s="10">
        <f>C61-B61</f>
        <v>-1757.8130404040403</v>
      </c>
      <c r="E61" s="10">
        <f>B61/(1+$B$1)^$A61</f>
        <v>1757.8130404040403</v>
      </c>
      <c r="F61" s="10">
        <f>C61/(1+$B$1)^$A61</f>
        <v>0</v>
      </c>
      <c r="G61" s="10">
        <f>F61-E61</f>
        <v>-1757.8130404040403</v>
      </c>
      <c r="H61" s="10"/>
      <c r="L61" s="10"/>
      <c r="M61" s="10"/>
      <c r="N61" s="10"/>
      <c r="O61" s="10"/>
      <c r="P61" s="10"/>
      <c r="Q61" s="10"/>
      <c r="R61" s="10"/>
    </row>
    <row r="62" spans="1:18" x14ac:dyDescent="0.25">
      <c r="A62" s="6">
        <v>1</v>
      </c>
      <c r="B62" s="10">
        <v>88.968222222222209</v>
      </c>
      <c r="C62" s="10">
        <v>0</v>
      </c>
      <c r="D62" s="10">
        <f>C62-B62</f>
        <v>-88.968222222222209</v>
      </c>
      <c r="E62" s="10">
        <f>B62/(1+$B$1)^$A62</f>
        <v>86.376914778856516</v>
      </c>
      <c r="F62" s="10">
        <f t="shared" ref="F62:F64" si="27">C62/(1+$B$1)^$A62</f>
        <v>0</v>
      </c>
      <c r="G62" s="10">
        <f>F62-E62</f>
        <v>-86.376914778856516</v>
      </c>
      <c r="H62" s="10"/>
      <c r="L62" s="10"/>
      <c r="M62" s="10"/>
      <c r="N62" s="10"/>
      <c r="O62" s="10"/>
      <c r="P62" s="10"/>
      <c r="Q62" s="10"/>
      <c r="R62" s="10"/>
    </row>
    <row r="63" spans="1:18" x14ac:dyDescent="0.25">
      <c r="A63" s="6">
        <v>2</v>
      </c>
      <c r="B63" s="10">
        <v>742.82444444444434</v>
      </c>
      <c r="C63" s="10">
        <f>Työkaluvälilehti!$B$12*(A63-A62)*Työkaluvälilehti!$B$7</f>
        <v>1236</v>
      </c>
      <c r="D63" s="10">
        <f t="shared" ref="D63:D64" si="28">C63-B63</f>
        <v>493.17555555555566</v>
      </c>
      <c r="E63" s="10">
        <f t="shared" ref="E63:F70" si="29">B63/(1+$B$1)^$A63</f>
        <v>700.18328253788707</v>
      </c>
      <c r="F63" s="10">
        <f t="shared" si="27"/>
        <v>1165.0485436893205</v>
      </c>
      <c r="G63" s="10">
        <f t="shared" ref="G63:G64" si="30">F63-E63</f>
        <v>464.8652611514334</v>
      </c>
      <c r="H63" s="10"/>
      <c r="L63" s="10"/>
      <c r="M63" s="10"/>
      <c r="N63" s="10"/>
      <c r="O63" s="10"/>
      <c r="P63" s="10"/>
      <c r="Q63" s="10"/>
      <c r="R63" s="10"/>
    </row>
    <row r="64" spans="1:18" x14ac:dyDescent="0.25">
      <c r="A64" s="6">
        <v>3</v>
      </c>
      <c r="B64" s="10">
        <v>742.82444444444434</v>
      </c>
      <c r="C64" s="10">
        <f>Työkaluvälilehti!$B$12*(A64-A63)*Työkaluvälilehti!$B$7</f>
        <v>1236</v>
      </c>
      <c r="D64" s="10">
        <f t="shared" si="28"/>
        <v>493.17555555555566</v>
      </c>
      <c r="E64" s="10">
        <f t="shared" si="29"/>
        <v>679.7895946969777</v>
      </c>
      <c r="F64" s="10">
        <f t="shared" si="27"/>
        <v>1131.1150909605053</v>
      </c>
      <c r="G64" s="10">
        <f t="shared" si="30"/>
        <v>451.32549626352761</v>
      </c>
      <c r="H64" s="10"/>
      <c r="L64" s="10"/>
      <c r="M64" s="10"/>
      <c r="N64" s="10"/>
      <c r="O64" s="10"/>
      <c r="P64" s="10"/>
      <c r="Q64" s="10"/>
      <c r="R64" s="10"/>
    </row>
    <row r="65" spans="1:18" x14ac:dyDescent="0.25">
      <c r="A65" s="6">
        <v>4</v>
      </c>
      <c r="B65" s="10">
        <v>742.82444444444434</v>
      </c>
      <c r="C65" s="10">
        <f>Työkaluvälilehti!$B$12*(A65-A64)*Työkaluvälilehti!$B$7</f>
        <v>1236</v>
      </c>
      <c r="D65" s="10">
        <f>C65-B65</f>
        <v>493.17555555555566</v>
      </c>
      <c r="E65" s="10">
        <f t="shared" si="29"/>
        <v>659.98989776405608</v>
      </c>
      <c r="F65" s="10">
        <f t="shared" si="29"/>
        <v>1098.1699912237916</v>
      </c>
      <c r="G65" s="10">
        <f>F65-E65</f>
        <v>438.18009345973553</v>
      </c>
      <c r="H65" s="10"/>
      <c r="L65" s="10"/>
      <c r="M65" s="10"/>
      <c r="N65" s="10"/>
      <c r="O65" s="10"/>
      <c r="P65" s="10"/>
      <c r="Q65" s="10"/>
      <c r="R65" s="10"/>
    </row>
    <row r="66" spans="1:18" x14ac:dyDescent="0.25">
      <c r="A66" s="6">
        <v>5</v>
      </c>
      <c r="B66" s="10">
        <v>1839.2540869156685</v>
      </c>
      <c r="C66" s="10">
        <f>Työkaluvälilehti!$B$12*(A66-A65)*Työkaluvälilehti!$B$7</f>
        <v>1236</v>
      </c>
      <c r="D66" s="10">
        <f>C66-B66</f>
        <v>-603.25408691566849</v>
      </c>
      <c r="E66" s="10">
        <f t="shared" si="29"/>
        <v>1586.5567320879304</v>
      </c>
      <c r="F66" s="10">
        <f t="shared" si="29"/>
        <v>1066.1844574988268</v>
      </c>
      <c r="G66" s="10">
        <f>F66-E66</f>
        <v>-520.37227458910365</v>
      </c>
      <c r="H66" s="10"/>
      <c r="L66" s="10"/>
      <c r="M66" s="10"/>
      <c r="N66" s="10"/>
      <c r="O66" s="10"/>
      <c r="P66" s="10"/>
      <c r="Q66" s="10"/>
      <c r="R66" s="10"/>
    </row>
    <row r="67" spans="1:18" x14ac:dyDescent="0.25">
      <c r="A67" s="6">
        <v>6</v>
      </c>
      <c r="B67" s="10">
        <v>231.00444444444449</v>
      </c>
      <c r="C67" s="10">
        <v>0</v>
      </c>
      <c r="D67" s="10">
        <f>C67-B67</f>
        <v>-231.00444444444449</v>
      </c>
      <c r="E67" s="10">
        <f t="shared" si="29"/>
        <v>193.46258544617612</v>
      </c>
      <c r="F67" s="10">
        <f t="shared" si="29"/>
        <v>0</v>
      </c>
      <c r="G67" s="10">
        <f>F67-E67</f>
        <v>-193.46258544617612</v>
      </c>
      <c r="H67" s="10"/>
      <c r="L67" s="10"/>
      <c r="M67" s="10"/>
      <c r="N67" s="10"/>
      <c r="O67" s="10"/>
      <c r="P67" s="10"/>
      <c r="Q67" s="10"/>
      <c r="R67" s="10"/>
    </row>
    <row r="68" spans="1:18" x14ac:dyDescent="0.25">
      <c r="A68" s="6">
        <v>7</v>
      </c>
      <c r="B68" s="10">
        <v>742.82444444444434</v>
      </c>
      <c r="C68" s="10">
        <f>Työkaluvälilehti!$B$12*(A68-A67)*Työkaluvälilehti!$B$7</f>
        <v>1236</v>
      </c>
      <c r="D68" s="10">
        <f t="shared" ref="D68:D69" si="31">C68-B68</f>
        <v>493.17555555555566</v>
      </c>
      <c r="E68" s="10">
        <f>B68/(1+$B$1)^$A68</f>
        <v>603.98425019612034</v>
      </c>
      <c r="F68" s="10">
        <f t="shared" si="29"/>
        <v>1004.9811080203852</v>
      </c>
      <c r="G68" s="10">
        <f>F68-E68</f>
        <v>400.99685782426491</v>
      </c>
      <c r="H68" s="10"/>
      <c r="L68" s="10"/>
      <c r="M68" s="10"/>
      <c r="N68" s="10"/>
      <c r="O68" s="10"/>
      <c r="P68" s="10"/>
      <c r="Q68" s="10"/>
      <c r="R68" s="10"/>
    </row>
    <row r="69" spans="1:18" x14ac:dyDescent="0.25">
      <c r="A69" s="6">
        <v>8</v>
      </c>
      <c r="B69" s="10">
        <v>742.82444444444434</v>
      </c>
      <c r="C69" s="10">
        <f>Työkaluvälilehti!$B$12*(A69-A68)*Työkaluvälilehti!$B$7</f>
        <v>1236</v>
      </c>
      <c r="D69" s="10">
        <f t="shared" si="31"/>
        <v>493.17555555555566</v>
      </c>
      <c r="E69" s="10">
        <f t="shared" ref="E69" si="32">B69/(1+$B$1)^$A69</f>
        <v>586.39247591856349</v>
      </c>
      <c r="F69" s="10">
        <f t="shared" si="29"/>
        <v>975.70981361202462</v>
      </c>
      <c r="G69" s="10">
        <f t="shared" ref="G69:G70" si="33">F69-E69</f>
        <v>389.31733769346113</v>
      </c>
      <c r="H69" s="10"/>
      <c r="L69" s="10"/>
      <c r="M69" s="10"/>
      <c r="N69" s="10"/>
      <c r="O69" s="10"/>
      <c r="P69" s="10"/>
      <c r="Q69" s="10"/>
      <c r="R69" s="10"/>
    </row>
    <row r="70" spans="1:18" x14ac:dyDescent="0.25">
      <c r="A70" s="6">
        <v>9</v>
      </c>
      <c r="B70" s="10">
        <v>742.82444444444434</v>
      </c>
      <c r="C70" s="10">
        <f>Työkaluvälilehti!$B$12*(A70-A69)*Työkaluvälilehti!$B$7</f>
        <v>1236</v>
      </c>
      <c r="D70" s="10">
        <f>C70-B70</f>
        <v>493.17555555555566</v>
      </c>
      <c r="E70" s="10">
        <f>B70/(1+$B$1)^$A70</f>
        <v>569.3130834160811</v>
      </c>
      <c r="F70" s="10">
        <f t="shared" si="29"/>
        <v>947.29108117672286</v>
      </c>
      <c r="G70" s="10">
        <f t="shared" si="33"/>
        <v>377.97799776064176</v>
      </c>
      <c r="H70" s="10"/>
      <c r="L70" s="10"/>
      <c r="M70" s="10"/>
      <c r="N70" s="10"/>
      <c r="O70" s="10"/>
      <c r="P70" s="10"/>
      <c r="Q70" s="10"/>
      <c r="R70" s="10"/>
    </row>
    <row r="71" spans="1:18" x14ac:dyDescent="0.25">
      <c r="A71" s="6">
        <v>10</v>
      </c>
      <c r="B71" s="10">
        <v>580.61937984496126</v>
      </c>
      <c r="C71" s="10">
        <f>Työkaluvälilehti!$B$12*(A71-A70)*Työkaluvälilehti!$B$7</f>
        <v>1236</v>
      </c>
      <c r="D71" s="10">
        <f>C71-B71</f>
        <v>655.38062015503874</v>
      </c>
      <c r="E71" s="10">
        <f>B71/(1+$B$1)^$A71</f>
        <v>432.03534741374597</v>
      </c>
      <c r="F71" s="10">
        <f>C71/(1+$B$1)^$A71</f>
        <v>919.70007881235233</v>
      </c>
      <c r="G71" s="10">
        <f>F71-E71</f>
        <v>487.66473139860636</v>
      </c>
      <c r="H71" s="10"/>
      <c r="L71" s="10"/>
      <c r="M71" s="10"/>
      <c r="N71" s="10"/>
      <c r="O71" s="10"/>
      <c r="P71" s="10"/>
      <c r="Q71" s="10"/>
      <c r="R71" s="10"/>
    </row>
    <row r="72" spans="1:18" x14ac:dyDescent="0.25">
      <c r="A72" s="6" t="s">
        <v>103</v>
      </c>
      <c r="B72" s="10" t="s">
        <v>107</v>
      </c>
      <c r="C72" s="10" t="s">
        <v>98</v>
      </c>
      <c r="D72" s="10" t="s">
        <v>99</v>
      </c>
      <c r="E72" s="10" t="s">
        <v>100</v>
      </c>
      <c r="F72" s="10" t="s">
        <v>101</v>
      </c>
      <c r="G72" s="10" t="s">
        <v>102</v>
      </c>
      <c r="H72" s="10" t="s">
        <v>83</v>
      </c>
      <c r="L72" s="10"/>
      <c r="M72" s="10"/>
      <c r="N72" s="10"/>
      <c r="O72" s="10"/>
      <c r="P72" s="10"/>
      <c r="Q72" s="10"/>
      <c r="R72" s="10"/>
    </row>
    <row r="73" spans="1:18" x14ac:dyDescent="0.25">
      <c r="B73" s="10">
        <f>SUM(B61:B71)</f>
        <v>8954.6058404980031</v>
      </c>
      <c r="C73" s="10">
        <f t="shared" ref="C73:G73" si="34">SUM(C61:C71)</f>
        <v>9888</v>
      </c>
      <c r="D73" s="10">
        <f t="shared" si="34"/>
        <v>933.39415950199702</v>
      </c>
      <c r="E73" s="10">
        <f t="shared" si="34"/>
        <v>7855.8972046604358</v>
      </c>
      <c r="F73" s="10">
        <f t="shared" si="34"/>
        <v>8308.2001649939302</v>
      </c>
      <c r="G73" s="10">
        <f t="shared" si="34"/>
        <v>452.30296033349407</v>
      </c>
      <c r="H73" s="10">
        <f>G73/(1-(1/(1+$B$1))^(A71))</f>
        <v>1767.4568392969634</v>
      </c>
      <c r="L73" s="10"/>
      <c r="M73" s="10"/>
      <c r="N73" s="10"/>
      <c r="O73" s="10"/>
      <c r="P73" s="10"/>
      <c r="Q73" s="10"/>
      <c r="R73" s="10"/>
    </row>
    <row r="74" spans="1:18" x14ac:dyDescent="0.25">
      <c r="B74" s="10" t="s">
        <v>104</v>
      </c>
      <c r="C74" s="10">
        <v>1639.3209567206075</v>
      </c>
      <c r="D74" s="10"/>
      <c r="E74" s="10"/>
      <c r="F74" s="10"/>
      <c r="G74" s="10"/>
      <c r="H74" s="10"/>
      <c r="L74" s="10"/>
      <c r="M74" s="10"/>
      <c r="N74" s="10"/>
      <c r="O74" s="10"/>
      <c r="P74" s="10"/>
      <c r="Q74" s="10"/>
      <c r="R74" s="10"/>
    </row>
    <row r="75" spans="1:18" x14ac:dyDescent="0.25">
      <c r="A75" s="6" t="s">
        <v>72</v>
      </c>
      <c r="B75" s="10"/>
      <c r="C75" s="10"/>
      <c r="D75" s="10"/>
      <c r="E75" s="10"/>
      <c r="F75" s="10"/>
      <c r="G75" s="10"/>
      <c r="H75" s="10"/>
      <c r="L75" s="10"/>
      <c r="M75" s="10"/>
      <c r="N75" s="10"/>
      <c r="O75" s="10"/>
      <c r="P75" s="10"/>
      <c r="Q75" s="10"/>
      <c r="R75" s="10"/>
    </row>
    <row r="76" spans="1:18" x14ac:dyDescent="0.25">
      <c r="A76" s="6" t="s">
        <v>78</v>
      </c>
      <c r="B76" s="10" t="s">
        <v>107</v>
      </c>
      <c r="C76" s="10" t="s">
        <v>98</v>
      </c>
      <c r="D76" s="10" t="s">
        <v>99</v>
      </c>
      <c r="E76" s="10" t="s">
        <v>100</v>
      </c>
      <c r="F76" s="10" t="s">
        <v>101</v>
      </c>
      <c r="G76" s="10" t="s">
        <v>102</v>
      </c>
      <c r="H76" s="10"/>
      <c r="L76" s="10"/>
      <c r="M76" s="10"/>
      <c r="N76" s="10"/>
      <c r="O76" s="10"/>
      <c r="P76" s="10"/>
      <c r="Q76" s="10"/>
      <c r="R76" s="10"/>
    </row>
    <row r="77" spans="1:18" x14ac:dyDescent="0.25">
      <c r="A77" s="6">
        <v>0</v>
      </c>
      <c r="B77" s="10">
        <v>1241.0517070707067</v>
      </c>
      <c r="C77" s="10">
        <v>0</v>
      </c>
      <c r="D77" s="10">
        <f>C77-B77</f>
        <v>-1241.0517070707067</v>
      </c>
      <c r="E77" s="10">
        <f>B77/(1+$B$1)^$A77</f>
        <v>1241.0517070707067</v>
      </c>
      <c r="F77" s="10">
        <f>C77/(1+$B$1)^$A77</f>
        <v>0</v>
      </c>
      <c r="G77" s="10">
        <f>F77-E77</f>
        <v>-1241.0517070707067</v>
      </c>
      <c r="H77" s="10"/>
      <c r="L77" s="10"/>
      <c r="M77" s="10"/>
      <c r="N77" s="10"/>
      <c r="O77" s="10"/>
      <c r="P77" s="10"/>
      <c r="Q77" s="10"/>
      <c r="R77" s="10"/>
    </row>
    <row r="78" spans="1:18" x14ac:dyDescent="0.25">
      <c r="A78" s="6">
        <v>1</v>
      </c>
      <c r="B78" s="10">
        <v>655.17603864734315</v>
      </c>
      <c r="C78" s="10">
        <f>Työkaluvälilehti!$B$12*(A79-A78)*Työkaluvälilehti!$B$3</f>
        <v>960</v>
      </c>
      <c r="D78" s="10">
        <f>C78-B78</f>
        <v>304.82396135265685</v>
      </c>
      <c r="E78" s="10">
        <f>B78/(1+$B$1)^$A78</f>
        <v>636.09324140518754</v>
      </c>
      <c r="F78" s="10">
        <f t="shared" ref="F78:F80" si="35">C78/(1+$B$1)^$A78</f>
        <v>932.03883495145624</v>
      </c>
      <c r="G78" s="10">
        <f>F78-E78</f>
        <v>295.9455935462687</v>
      </c>
      <c r="H78" s="10"/>
      <c r="L78" s="10"/>
      <c r="M78" s="10"/>
      <c r="N78" s="10"/>
      <c r="O78" s="10"/>
      <c r="P78" s="10"/>
      <c r="Q78" s="10"/>
      <c r="R78" s="10"/>
    </row>
    <row r="79" spans="1:18" x14ac:dyDescent="0.25">
      <c r="A79" s="6">
        <v>2</v>
      </c>
      <c r="B79" s="10">
        <v>655.17603864734315</v>
      </c>
      <c r="C79" s="10">
        <f>Työkaluvälilehti!$B$12*(A79-A78)*Työkaluvälilehti!$B$3</f>
        <v>960</v>
      </c>
      <c r="D79" s="10">
        <f t="shared" ref="D79:D80" si="36">C79-B79</f>
        <v>304.82396135265685</v>
      </c>
      <c r="E79" s="10">
        <f t="shared" ref="E79:F86" si="37">B79/(1+$B$1)^$A79</f>
        <v>617.56625379144418</v>
      </c>
      <c r="F79" s="10">
        <f t="shared" si="35"/>
        <v>904.8920727684042</v>
      </c>
      <c r="G79" s="10">
        <f t="shared" ref="G79:G80" si="38">F79-E79</f>
        <v>287.32581897696002</v>
      </c>
      <c r="H79" s="10"/>
      <c r="L79" s="10"/>
      <c r="M79" s="10"/>
      <c r="N79" s="10"/>
      <c r="O79" s="10"/>
      <c r="P79" s="10"/>
      <c r="Q79" s="10"/>
      <c r="R79" s="10"/>
    </row>
    <row r="80" spans="1:18" x14ac:dyDescent="0.25">
      <c r="A80" s="6">
        <v>3</v>
      </c>
      <c r="B80" s="10">
        <v>655.17603864734315</v>
      </c>
      <c r="C80" s="10">
        <f>Työkaluvälilehti!$B$12*(A80-A79)*Työkaluvälilehti!$B$3</f>
        <v>960</v>
      </c>
      <c r="D80" s="10">
        <f t="shared" si="36"/>
        <v>304.82396135265685</v>
      </c>
      <c r="E80" s="10">
        <f t="shared" si="37"/>
        <v>599.57888717615936</v>
      </c>
      <c r="F80" s="10">
        <f t="shared" si="35"/>
        <v>878.53599297903315</v>
      </c>
      <c r="G80" s="10">
        <f t="shared" si="38"/>
        <v>278.9571058028738</v>
      </c>
      <c r="H80" s="10"/>
      <c r="L80" s="10"/>
      <c r="M80" s="10"/>
      <c r="N80" s="10"/>
      <c r="O80" s="10"/>
      <c r="P80" s="10"/>
      <c r="Q80" s="10"/>
      <c r="R80" s="10"/>
    </row>
    <row r="81" spans="1:18" x14ac:dyDescent="0.25">
      <c r="A81" s="6">
        <v>4</v>
      </c>
      <c r="B81" s="10">
        <v>655.17603864734315</v>
      </c>
      <c r="C81" s="10">
        <f>Työkaluvälilehti!$B$12*(A81-A80)*Työkaluvälilehti!$B$3</f>
        <v>960</v>
      </c>
      <c r="D81" s="10">
        <f>C81-B81</f>
        <v>304.82396135265685</v>
      </c>
      <c r="E81" s="10">
        <f t="shared" si="37"/>
        <v>582.11542444287329</v>
      </c>
      <c r="F81" s="10">
        <f t="shared" si="37"/>
        <v>852.94756599906145</v>
      </c>
      <c r="G81" s="10">
        <f>F81-E81</f>
        <v>270.83214155618816</v>
      </c>
      <c r="H81" s="10"/>
      <c r="L81" s="10"/>
      <c r="M81" s="10"/>
      <c r="N81" s="10"/>
      <c r="O81" s="10"/>
      <c r="P81" s="10"/>
      <c r="Q81" s="10"/>
      <c r="R81" s="10"/>
    </row>
    <row r="82" spans="1:18" x14ac:dyDescent="0.25">
      <c r="A82" s="6">
        <v>5</v>
      </c>
      <c r="B82" s="10">
        <v>655.17603864734315</v>
      </c>
      <c r="C82" s="10">
        <f>Työkaluvälilehti!$B$12*(A82-A81)*Työkaluvälilehti!$B$3</f>
        <v>960</v>
      </c>
      <c r="D82" s="10">
        <f>C82-B82</f>
        <v>304.82396135265685</v>
      </c>
      <c r="E82" s="10">
        <f t="shared" si="37"/>
        <v>565.16060625521675</v>
      </c>
      <c r="F82" s="10">
        <f t="shared" si="37"/>
        <v>828.10443300879751</v>
      </c>
      <c r="G82" s="10">
        <f>F82-E82</f>
        <v>262.94382675358077</v>
      </c>
      <c r="H82" s="10"/>
      <c r="L82" s="10"/>
      <c r="M82" s="10"/>
      <c r="N82" s="10"/>
      <c r="O82" s="10"/>
      <c r="P82" s="10"/>
      <c r="Q82" s="10"/>
      <c r="R82" s="10"/>
    </row>
    <row r="83" spans="1:18" x14ac:dyDescent="0.25">
      <c r="A83" s="6">
        <v>6</v>
      </c>
      <c r="B83" s="10">
        <v>655.17603864734315</v>
      </c>
      <c r="C83" s="10">
        <f>Työkaluvälilehti!$B$12*(A83-A82)*Työkaluvälilehti!$B$3</f>
        <v>960</v>
      </c>
      <c r="D83" s="10">
        <f>C83-B83</f>
        <v>304.82396135265685</v>
      </c>
      <c r="E83" s="10">
        <f t="shared" si="37"/>
        <v>548.69961772351144</v>
      </c>
      <c r="F83" s="10">
        <f t="shared" si="37"/>
        <v>803.9848864163082</v>
      </c>
      <c r="G83" s="10">
        <f>F83-E83</f>
        <v>255.28526869279676</v>
      </c>
      <c r="H83" s="10"/>
      <c r="L83" s="10"/>
      <c r="M83" s="10"/>
      <c r="N83" s="10"/>
      <c r="O83" s="10"/>
      <c r="P83" s="10"/>
      <c r="Q83" s="10"/>
      <c r="R83" s="10"/>
    </row>
    <row r="84" spans="1:18" x14ac:dyDescent="0.25">
      <c r="A84" s="6">
        <v>7</v>
      </c>
      <c r="B84" s="10">
        <v>655.17603864734315</v>
      </c>
      <c r="C84" s="10">
        <f>Työkaluvälilehti!$B$12*(A84-A83)*Työkaluvälilehti!$B$3</f>
        <v>960</v>
      </c>
      <c r="D84" s="10">
        <f t="shared" ref="D84:D85" si="39">C84-B84</f>
        <v>304.82396135265685</v>
      </c>
      <c r="E84" s="10">
        <f>B84/(1+$B$1)^$A84</f>
        <v>532.71807545971978</v>
      </c>
      <c r="F84" s="10">
        <f t="shared" si="37"/>
        <v>780.56785088961965</v>
      </c>
      <c r="G84" s="10">
        <f>F84-E84</f>
        <v>247.84977542989986</v>
      </c>
      <c r="H84" s="10"/>
      <c r="L84" s="10"/>
      <c r="M84" s="10"/>
      <c r="N84" s="10"/>
      <c r="O84" s="10"/>
      <c r="P84" s="10"/>
      <c r="Q84" s="10"/>
      <c r="R84" s="10"/>
    </row>
    <row r="85" spans="1:18" x14ac:dyDescent="0.25">
      <c r="A85" s="6">
        <v>8</v>
      </c>
      <c r="B85" s="10">
        <v>655.17603864734315</v>
      </c>
      <c r="C85" s="10">
        <f>Työkaluvälilehti!$B$12*(A85-A84)*Työkaluvälilehti!$B$3</f>
        <v>960</v>
      </c>
      <c r="D85" s="10">
        <f t="shared" si="39"/>
        <v>304.82396135265685</v>
      </c>
      <c r="E85" s="10">
        <f t="shared" ref="E85" si="40">B85/(1+$B$1)^$A85</f>
        <v>517.20201500943676</v>
      </c>
      <c r="F85" s="10">
        <f t="shared" si="37"/>
        <v>757.83286494137838</v>
      </c>
      <c r="G85" s="10">
        <f t="shared" ref="G85:G86" si="41">F85-E85</f>
        <v>240.63084993194161</v>
      </c>
      <c r="H85" s="10"/>
      <c r="L85" s="10"/>
      <c r="M85" s="10"/>
      <c r="N85" s="10"/>
      <c r="O85" s="10"/>
      <c r="P85" s="10"/>
      <c r="Q85" s="10"/>
      <c r="R85" s="10"/>
    </row>
    <row r="86" spans="1:18" x14ac:dyDescent="0.25">
      <c r="A86" s="6">
        <v>9</v>
      </c>
      <c r="B86" s="10">
        <v>655.17603864734315</v>
      </c>
      <c r="C86" s="10">
        <f>Työkaluvälilehti!$B$12*(A86-A85)*Työkaluvälilehti!$B$3</f>
        <v>960</v>
      </c>
      <c r="D86" s="10">
        <f>C86-B86</f>
        <v>304.82396135265685</v>
      </c>
      <c r="E86" s="10">
        <f>B86/(1+$B$1)^$A86</f>
        <v>502.13787864993856</v>
      </c>
      <c r="F86" s="10">
        <f t="shared" si="37"/>
        <v>735.76006304988186</v>
      </c>
      <c r="G86" s="10">
        <f t="shared" si="41"/>
        <v>233.62218439994331</v>
      </c>
      <c r="H86" s="10"/>
      <c r="L86" s="10"/>
      <c r="M86" s="10"/>
      <c r="N86" s="10"/>
      <c r="O86" s="10"/>
      <c r="P86" s="10"/>
      <c r="Q86" s="10"/>
      <c r="R86" s="10"/>
    </row>
    <row r="87" spans="1:18" x14ac:dyDescent="0.25">
      <c r="A87" s="6">
        <v>10</v>
      </c>
      <c r="B87" s="10">
        <v>685.52239523649041</v>
      </c>
      <c r="C87" s="10">
        <f>Työkaluvälilehti!$B$12*(A87-A86)*Työkaluvälilehti!$B$3</f>
        <v>960</v>
      </c>
      <c r="D87" s="10">
        <f>C87-B87</f>
        <v>274.47760476350959</v>
      </c>
      <c r="E87" s="10">
        <f>B87/(1+$B$1)^$A87</f>
        <v>510.09304282090028</v>
      </c>
      <c r="F87" s="10">
        <f>C87/(1+$B$1)^$A87</f>
        <v>714.33015830085617</v>
      </c>
      <c r="G87" s="10">
        <f>F87-E87</f>
        <v>204.23711547995589</v>
      </c>
      <c r="H87" s="10"/>
      <c r="L87" s="10"/>
      <c r="M87" s="10"/>
      <c r="N87" s="10"/>
      <c r="O87" s="10"/>
      <c r="P87" s="10"/>
      <c r="Q87" s="10"/>
      <c r="R87" s="10"/>
    </row>
    <row r="88" spans="1:18" x14ac:dyDescent="0.25">
      <c r="A88" s="6" t="s">
        <v>103</v>
      </c>
      <c r="B88" s="10" t="s">
        <v>107</v>
      </c>
      <c r="C88" s="10" t="s">
        <v>98</v>
      </c>
      <c r="D88" s="10" t="s">
        <v>99</v>
      </c>
      <c r="E88" s="10" t="s">
        <v>100</v>
      </c>
      <c r="F88" s="10" t="s">
        <v>101</v>
      </c>
      <c r="G88" s="10" t="s">
        <v>102</v>
      </c>
      <c r="H88" s="10" t="s">
        <v>83</v>
      </c>
      <c r="L88" s="10"/>
      <c r="M88" s="10"/>
      <c r="N88" s="10"/>
      <c r="O88" s="10"/>
      <c r="P88" s="10"/>
      <c r="Q88" s="10"/>
      <c r="R88" s="10"/>
    </row>
    <row r="89" spans="1:18" x14ac:dyDescent="0.25">
      <c r="B89" s="10">
        <f>SUM(B77:B87)</f>
        <v>7823.1584501332873</v>
      </c>
      <c r="C89" s="10">
        <f t="shared" ref="C89:G89" si="42">SUM(C77:C87)</f>
        <v>9600</v>
      </c>
      <c r="D89" s="10">
        <f>SUM(D77:D87)</f>
        <v>1776.8415498667146</v>
      </c>
      <c r="E89" s="10">
        <f t="shared" si="42"/>
        <v>6852.4167498050929</v>
      </c>
      <c r="F89" s="10">
        <f t="shared" si="42"/>
        <v>8188.9947233047969</v>
      </c>
      <c r="G89" s="10">
        <f t="shared" si="42"/>
        <v>1336.5779734997022</v>
      </c>
      <c r="H89" s="10">
        <f>G89/(1-(1/(1+$B$1))^(A87))</f>
        <v>5222.923765022254</v>
      </c>
      <c r="L89" s="10"/>
      <c r="M89" s="10"/>
      <c r="N89" s="10"/>
      <c r="O89" s="10"/>
      <c r="P89" s="10"/>
      <c r="Q89" s="10"/>
      <c r="R89" s="10"/>
    </row>
    <row r="90" spans="1:18" x14ac:dyDescent="0.25">
      <c r="B90" s="10" t="s">
        <v>104</v>
      </c>
      <c r="C90" s="10">
        <v>1610.3158450133287</v>
      </c>
      <c r="D90" s="10"/>
      <c r="E90" s="10"/>
      <c r="F90" s="10"/>
      <c r="G90" s="10"/>
      <c r="H90" s="10"/>
      <c r="L90" s="10"/>
      <c r="M90" s="10"/>
      <c r="N90" s="10"/>
      <c r="O90" s="10"/>
      <c r="P90" s="10"/>
      <c r="Q90" s="10"/>
      <c r="R90" s="10"/>
    </row>
    <row r="91" spans="1:18" x14ac:dyDescent="0.25">
      <c r="A91" s="6" t="s">
        <v>74</v>
      </c>
      <c r="B91" s="10"/>
      <c r="C91" s="10"/>
      <c r="D91" s="10"/>
      <c r="E91" s="10"/>
      <c r="F91" s="10"/>
      <c r="G91" s="10"/>
      <c r="H91" s="10"/>
      <c r="L91" s="10"/>
      <c r="M91" s="10"/>
      <c r="N91" s="10"/>
      <c r="O91" s="10"/>
      <c r="P91" s="10"/>
      <c r="Q91" s="10"/>
      <c r="R91" s="10"/>
    </row>
    <row r="92" spans="1:18" x14ac:dyDescent="0.25">
      <c r="A92" s="6" t="s">
        <v>78</v>
      </c>
      <c r="B92" s="10" t="s">
        <v>107</v>
      </c>
      <c r="C92" s="10" t="s">
        <v>98</v>
      </c>
      <c r="D92" s="10" t="s">
        <v>99</v>
      </c>
      <c r="E92" s="10" t="s">
        <v>100</v>
      </c>
      <c r="F92" s="10" t="s">
        <v>101</v>
      </c>
      <c r="G92" s="10" t="s">
        <v>102</v>
      </c>
      <c r="H92" s="10"/>
      <c r="L92" s="10"/>
      <c r="M92" s="10"/>
      <c r="N92" s="10"/>
      <c r="O92" s="10"/>
      <c r="P92" s="10"/>
      <c r="Q92" s="10"/>
      <c r="R92" s="10"/>
    </row>
    <row r="93" spans="1:18" x14ac:dyDescent="0.25">
      <c r="A93" s="6">
        <v>0</v>
      </c>
      <c r="B93" s="10">
        <v>1241.0517070707067</v>
      </c>
      <c r="C93" s="10">
        <v>0</v>
      </c>
      <c r="D93" s="10">
        <f>C93-B93</f>
        <v>-1241.0517070707067</v>
      </c>
      <c r="E93" s="10">
        <f>B93/(1+$B$1)^$A93</f>
        <v>1241.0517070707067</v>
      </c>
      <c r="F93" s="10">
        <f>C93/(1+$B$1)^$A93</f>
        <v>0</v>
      </c>
      <c r="G93" s="10">
        <f>F93-E93</f>
        <v>-1241.0517070707067</v>
      </c>
      <c r="H93" s="10"/>
      <c r="L93" s="10"/>
      <c r="M93" s="10"/>
      <c r="N93" s="10"/>
      <c r="O93" s="10"/>
      <c r="P93" s="10"/>
      <c r="Q93" s="10"/>
      <c r="R93" s="10"/>
    </row>
    <row r="94" spans="1:18" x14ac:dyDescent="0.25">
      <c r="A94" s="6">
        <v>1</v>
      </c>
      <c r="B94" s="10">
        <v>88.968222222222209</v>
      </c>
      <c r="C94" s="10">
        <v>0</v>
      </c>
      <c r="D94" s="10">
        <f>C94-B94</f>
        <v>-88.968222222222209</v>
      </c>
      <c r="E94" s="10">
        <f>B94/(1+$B$1)^$A94</f>
        <v>86.376914778856516</v>
      </c>
      <c r="F94" s="10">
        <f t="shared" ref="F94:F96" si="43">C94/(1+$B$1)^$A94</f>
        <v>0</v>
      </c>
      <c r="G94" s="10">
        <f>F94-E94</f>
        <v>-86.376914778856516</v>
      </c>
      <c r="H94" s="10"/>
      <c r="L94" s="10"/>
      <c r="M94" s="10"/>
      <c r="N94" s="10"/>
      <c r="O94" s="10"/>
      <c r="P94" s="10"/>
      <c r="Q94" s="10"/>
      <c r="R94" s="10"/>
    </row>
    <row r="95" spans="1:18" x14ac:dyDescent="0.25">
      <c r="A95" s="6">
        <v>2</v>
      </c>
      <c r="B95" s="10">
        <v>976.66324361628699</v>
      </c>
      <c r="C95" s="10">
        <f>Työkaluvälilehti!$B$12*(A95-A94)*Työkaluvälilehti!$B$4</f>
        <v>1200</v>
      </c>
      <c r="D95" s="10">
        <f t="shared" ref="D95:D96" si="44">C95-B95</f>
        <v>223.33675638371301</v>
      </c>
      <c r="E95" s="10">
        <f t="shared" ref="E95:F102" si="45">B95/(1+$B$1)^$A95</f>
        <v>920.59877803401548</v>
      </c>
      <c r="F95" s="10">
        <f t="shared" si="43"/>
        <v>1131.1150909605053</v>
      </c>
      <c r="G95" s="10">
        <f t="shared" ref="G95:G96" si="46">F95-E95</f>
        <v>210.51631292648983</v>
      </c>
      <c r="H95" s="10"/>
      <c r="L95" s="10"/>
      <c r="M95" s="10"/>
      <c r="N95" s="10"/>
      <c r="O95" s="10"/>
      <c r="P95" s="10"/>
      <c r="Q95" s="10"/>
      <c r="R95" s="10"/>
    </row>
    <row r="96" spans="1:18" x14ac:dyDescent="0.25">
      <c r="A96" s="6">
        <v>3</v>
      </c>
      <c r="B96" s="10">
        <v>976.66324361628699</v>
      </c>
      <c r="C96" s="10">
        <f>Työkaluvälilehti!$B$12*(A96-A95)*Työkaluvälilehti!$B$4</f>
        <v>1200</v>
      </c>
      <c r="D96" s="10">
        <f t="shared" si="44"/>
        <v>223.33675638371301</v>
      </c>
      <c r="E96" s="10">
        <f t="shared" si="45"/>
        <v>893.78522139224799</v>
      </c>
      <c r="F96" s="10">
        <f t="shared" si="43"/>
        <v>1098.1699912237914</v>
      </c>
      <c r="G96" s="10">
        <f t="shared" si="46"/>
        <v>204.38476983154339</v>
      </c>
      <c r="H96" s="10"/>
      <c r="L96" s="10"/>
      <c r="M96" s="10"/>
      <c r="N96" s="10"/>
      <c r="O96" s="10"/>
      <c r="P96" s="10"/>
      <c r="Q96" s="10"/>
      <c r="R96" s="10"/>
    </row>
    <row r="97" spans="1:18" x14ac:dyDescent="0.25">
      <c r="A97" s="6">
        <v>4</v>
      </c>
      <c r="B97" s="10">
        <v>976.66324361628699</v>
      </c>
      <c r="C97" s="10">
        <f>Työkaluvälilehti!$B$12*(A97-A96)*Työkaluvälilehti!$B$4</f>
        <v>1200</v>
      </c>
      <c r="D97" s="10">
        <f>C97-B97</f>
        <v>223.33675638371301</v>
      </c>
      <c r="E97" s="10">
        <f t="shared" si="45"/>
        <v>867.75264212839625</v>
      </c>
      <c r="F97" s="10">
        <f t="shared" si="45"/>
        <v>1066.1844574988268</v>
      </c>
      <c r="G97" s="10">
        <f>F97-E97</f>
        <v>198.43181537043051</v>
      </c>
      <c r="H97" s="10"/>
      <c r="L97" s="10"/>
      <c r="M97" s="10"/>
      <c r="N97" s="10"/>
      <c r="O97" s="10"/>
      <c r="P97" s="10"/>
      <c r="Q97" s="10"/>
      <c r="R97" s="10"/>
    </row>
    <row r="98" spans="1:18" x14ac:dyDescent="0.25">
      <c r="A98" s="6">
        <v>5</v>
      </c>
      <c r="B98" s="10">
        <v>976.66324361628699</v>
      </c>
      <c r="C98" s="10">
        <f>Työkaluvälilehti!$B$12*(A98-A97)*Työkaluvälilehti!$B$4</f>
        <v>1200</v>
      </c>
      <c r="D98" s="10">
        <f>C98-B98</f>
        <v>223.33675638371301</v>
      </c>
      <c r="E98" s="10">
        <f t="shared" si="45"/>
        <v>842.47829332854008</v>
      </c>
      <c r="F98" s="10">
        <f t="shared" si="45"/>
        <v>1035.130541260997</v>
      </c>
      <c r="G98" s="10">
        <f>F98-E98</f>
        <v>192.65224793245693</v>
      </c>
      <c r="H98" s="10"/>
      <c r="L98" s="10"/>
      <c r="M98" s="10"/>
      <c r="N98" s="10"/>
      <c r="O98" s="10"/>
      <c r="P98" s="10"/>
      <c r="Q98" s="10"/>
      <c r="R98" s="10"/>
    </row>
    <row r="99" spans="1:18" x14ac:dyDescent="0.25">
      <c r="A99" s="6">
        <v>6</v>
      </c>
      <c r="B99" s="10">
        <v>976.66324361628699</v>
      </c>
      <c r="C99" s="10">
        <f>Työkaluvälilehti!$B$12*(A99-A98)*Työkaluvälilehti!$B$4</f>
        <v>1200</v>
      </c>
      <c r="D99" s="10">
        <f>C99-B99</f>
        <v>223.33675638371301</v>
      </c>
      <c r="E99" s="10">
        <f t="shared" si="45"/>
        <v>817.94009061023303</v>
      </c>
      <c r="F99" s="10">
        <f t="shared" si="45"/>
        <v>1004.9811080203852</v>
      </c>
      <c r="G99" s="10">
        <f>F99-E99</f>
        <v>187.04101741015222</v>
      </c>
      <c r="H99" s="10"/>
      <c r="L99" s="10"/>
      <c r="M99" s="10"/>
      <c r="N99" s="10"/>
      <c r="O99" s="10"/>
      <c r="P99" s="10"/>
      <c r="Q99" s="10"/>
      <c r="R99" s="10"/>
    </row>
    <row r="100" spans="1:18" x14ac:dyDescent="0.25">
      <c r="A100" s="6">
        <v>7</v>
      </c>
      <c r="B100" s="10">
        <v>976.66324361628699</v>
      </c>
      <c r="C100" s="10">
        <f>Työkaluvälilehti!$B$12*(A100-A99)*Työkaluvälilehti!$B$4</f>
        <v>1200</v>
      </c>
      <c r="D100" s="10">
        <f t="shared" ref="D100:D101" si="47">C100-B100</f>
        <v>223.33675638371301</v>
      </c>
      <c r="E100" s="10">
        <f>B100/(1+$B$1)^$A100</f>
        <v>794.11659282546884</v>
      </c>
      <c r="F100" s="10">
        <f t="shared" si="45"/>
        <v>975.7098136120245</v>
      </c>
      <c r="G100" s="10">
        <f>F100-E100</f>
        <v>181.59322078655566</v>
      </c>
      <c r="H100" s="10"/>
      <c r="L100" s="10"/>
      <c r="M100" s="10"/>
      <c r="N100" s="10"/>
      <c r="O100" s="10"/>
      <c r="P100" s="10"/>
      <c r="Q100" s="10"/>
      <c r="R100" s="10"/>
    </row>
    <row r="101" spans="1:18" x14ac:dyDescent="0.25">
      <c r="A101" s="6">
        <v>8</v>
      </c>
      <c r="B101" s="10">
        <v>976.66324361628699</v>
      </c>
      <c r="C101" s="10">
        <f>Työkaluvälilehti!$B$12*(A101-A100)*Työkaluvälilehti!$B$4</f>
        <v>1200</v>
      </c>
      <c r="D101" s="10">
        <f t="shared" si="47"/>
        <v>223.33675638371301</v>
      </c>
      <c r="E101" s="10">
        <f t="shared" ref="E101" si="48">B101/(1+$B$1)^$A101</f>
        <v>770.98698332569802</v>
      </c>
      <c r="F101" s="10">
        <f t="shared" si="45"/>
        <v>947.29108117672297</v>
      </c>
      <c r="G101" s="10">
        <f t="shared" ref="G101:G102" si="49">F101-E101</f>
        <v>176.30409785102495</v>
      </c>
      <c r="H101" s="10"/>
      <c r="L101" s="10"/>
      <c r="M101" s="10"/>
      <c r="N101" s="10"/>
      <c r="O101" s="10"/>
      <c r="P101" s="10"/>
      <c r="Q101" s="10"/>
      <c r="R101" s="10"/>
    </row>
    <row r="102" spans="1:18" x14ac:dyDescent="0.25">
      <c r="A102" s="6">
        <v>9</v>
      </c>
      <c r="B102" s="10">
        <v>976.66324361628699</v>
      </c>
      <c r="C102" s="10">
        <f>Työkaluvälilehti!$B$12*(A102-A101)*Työkaluvälilehti!$B$4</f>
        <v>1200</v>
      </c>
      <c r="D102" s="10">
        <f>C102-B102</f>
        <v>223.33675638371301</v>
      </c>
      <c r="E102" s="10">
        <f>B102/(1+$B$1)^$A102</f>
        <v>748.53105177252235</v>
      </c>
      <c r="F102" s="10">
        <f t="shared" si="45"/>
        <v>919.70007881235233</v>
      </c>
      <c r="G102" s="10">
        <f t="shared" si="49"/>
        <v>171.16902703982998</v>
      </c>
      <c r="H102" s="10"/>
      <c r="L102" s="10"/>
      <c r="M102" s="10"/>
      <c r="N102" s="10"/>
      <c r="O102" s="10"/>
      <c r="P102" s="10"/>
      <c r="Q102" s="10"/>
      <c r="R102" s="10"/>
    </row>
    <row r="103" spans="1:18" x14ac:dyDescent="0.25">
      <c r="A103" s="6">
        <v>10</v>
      </c>
      <c r="B103" s="10">
        <v>1007.0096002054343</v>
      </c>
      <c r="C103" s="10">
        <f>Työkaluvälilehti!$B$12*(A103-A102)*Työkaluvälilehti!$B$4</f>
        <v>1200</v>
      </c>
      <c r="D103" s="10">
        <f>C103-B103</f>
        <v>192.99039979456575</v>
      </c>
      <c r="E103" s="10">
        <f>B103/(1+$B$1)^$A103</f>
        <v>749.30971575544766</v>
      </c>
      <c r="F103" s="10">
        <f>C103/(1+$B$1)^$A103</f>
        <v>892.91269787607018</v>
      </c>
      <c r="G103" s="10">
        <f>F103-E103</f>
        <v>143.60298212062253</v>
      </c>
      <c r="H103" s="10"/>
      <c r="L103" s="10"/>
      <c r="M103" s="10"/>
      <c r="N103" s="10"/>
      <c r="O103" s="10"/>
      <c r="P103" s="10"/>
      <c r="Q103" s="10"/>
      <c r="R103" s="10"/>
    </row>
    <row r="104" spans="1:18" x14ac:dyDescent="0.25">
      <c r="A104" s="6" t="s">
        <v>103</v>
      </c>
      <c r="B104" s="10" t="s">
        <v>107</v>
      </c>
      <c r="C104" s="10" t="s">
        <v>98</v>
      </c>
      <c r="D104" s="10" t="s">
        <v>99</v>
      </c>
      <c r="E104" s="10" t="s">
        <v>100</v>
      </c>
      <c r="F104" s="10" t="s">
        <v>101</v>
      </c>
      <c r="G104" s="10" t="s">
        <v>102</v>
      </c>
      <c r="H104" s="10" t="s">
        <v>83</v>
      </c>
      <c r="L104" s="10"/>
      <c r="M104" s="10"/>
      <c r="N104" s="10"/>
      <c r="O104" s="10"/>
      <c r="P104" s="10"/>
      <c r="Q104" s="10"/>
      <c r="R104" s="10"/>
    </row>
    <row r="105" spans="1:18" x14ac:dyDescent="0.25">
      <c r="B105" s="10">
        <f>SUM(B93:B103)</f>
        <v>10150.33547842866</v>
      </c>
      <c r="C105" s="10">
        <f t="shared" ref="C105:G105" si="50">SUM(C93:C103)</f>
        <v>10800</v>
      </c>
      <c r="D105" s="10">
        <f t="shared" si="50"/>
        <v>649.66452157134086</v>
      </c>
      <c r="E105" s="10">
        <f t="shared" si="50"/>
        <v>8732.9279910221321</v>
      </c>
      <c r="F105" s="10">
        <f t="shared" si="50"/>
        <v>9071.1948604416757</v>
      </c>
      <c r="G105" s="10">
        <f t="shared" si="50"/>
        <v>338.26686941954279</v>
      </c>
      <c r="H105" s="10">
        <f>G105/(1-(1/(1+$B$1))^(A103))</f>
        <v>1321.8398823264786</v>
      </c>
      <c r="L105" s="10"/>
      <c r="M105" s="10"/>
      <c r="N105" s="10"/>
      <c r="O105" s="10"/>
      <c r="P105" s="10"/>
      <c r="Q105" s="10"/>
      <c r="R105" s="10"/>
    </row>
    <row r="106" spans="1:18" x14ac:dyDescent="0.25">
      <c r="B106" s="10" t="s">
        <v>104</v>
      </c>
      <c r="C106" s="10">
        <v>1843.033547842866</v>
      </c>
      <c r="D106" s="10"/>
      <c r="E106" s="10"/>
      <c r="F106" s="10"/>
      <c r="G106" s="10"/>
      <c r="H106" s="10"/>
      <c r="L106" s="10"/>
      <c r="M106" s="10"/>
      <c r="N106" s="10"/>
      <c r="O106" s="10"/>
      <c r="P106" s="10"/>
      <c r="Q106" s="10"/>
      <c r="R106" s="10"/>
    </row>
    <row r="107" spans="1:18" x14ac:dyDescent="0.25">
      <c r="A107" s="6" t="s">
        <v>77</v>
      </c>
      <c r="B107" s="10"/>
      <c r="C107" s="10"/>
      <c r="D107" s="10"/>
      <c r="E107" s="10"/>
      <c r="F107" s="10"/>
      <c r="G107" s="10"/>
      <c r="H107" s="10"/>
      <c r="L107" s="10"/>
      <c r="M107" s="10"/>
      <c r="N107" s="10"/>
      <c r="O107" s="10"/>
      <c r="P107" s="10"/>
      <c r="Q107" s="10"/>
      <c r="R107" s="10"/>
    </row>
    <row r="108" spans="1:18" x14ac:dyDescent="0.25">
      <c r="A108" s="6" t="s">
        <v>78</v>
      </c>
      <c r="B108" s="10" t="s">
        <v>107</v>
      </c>
      <c r="C108" s="10" t="s">
        <v>98</v>
      </c>
      <c r="D108" s="10" t="s">
        <v>99</v>
      </c>
      <c r="E108" s="10" t="s">
        <v>100</v>
      </c>
      <c r="F108" s="10" t="s">
        <v>101</v>
      </c>
      <c r="G108" s="10" t="s">
        <v>102</v>
      </c>
      <c r="H108" s="10"/>
      <c r="L108" s="10"/>
      <c r="M108" s="10"/>
      <c r="N108" s="10"/>
      <c r="O108" s="10"/>
      <c r="P108" s="10"/>
      <c r="Q108" s="10"/>
      <c r="R108" s="10"/>
    </row>
    <row r="109" spans="1:18" x14ac:dyDescent="0.25">
      <c r="A109" s="6">
        <v>0</v>
      </c>
      <c r="B109" s="10">
        <v>1241.0517070707067</v>
      </c>
      <c r="C109" s="10">
        <v>0</v>
      </c>
      <c r="D109" s="10">
        <f>C109-B109</f>
        <v>-1241.0517070707067</v>
      </c>
      <c r="E109" s="10">
        <f>B109/(1+$B$1)^$A109</f>
        <v>1241.0517070707067</v>
      </c>
      <c r="F109" s="10">
        <f>C109/(1+$B$1)^$A109</f>
        <v>0</v>
      </c>
      <c r="G109" s="10">
        <f>F109-E109</f>
        <v>-1241.0517070707067</v>
      </c>
      <c r="H109" s="10"/>
      <c r="L109" s="10"/>
      <c r="M109" s="10"/>
      <c r="N109" s="10"/>
      <c r="O109" s="10"/>
      <c r="P109" s="10"/>
      <c r="Q109" s="10"/>
      <c r="R109" s="10"/>
    </row>
    <row r="110" spans="1:18" x14ac:dyDescent="0.25">
      <c r="A110" s="6">
        <v>1</v>
      </c>
      <c r="B110" s="10">
        <v>88.968222222222209</v>
      </c>
      <c r="C110" s="10">
        <v>0</v>
      </c>
      <c r="D110" s="10">
        <f>C110-B110</f>
        <v>-88.968222222222209</v>
      </c>
      <c r="E110" s="10">
        <f>B110/(1+$B$1)^$A110</f>
        <v>86.376914778856516</v>
      </c>
      <c r="F110" s="10">
        <f t="shared" ref="F110:F112" si="51">C110/(1+$B$1)^$A110</f>
        <v>0</v>
      </c>
      <c r="G110" s="10">
        <f>F110-E110</f>
        <v>-86.376914778856516</v>
      </c>
      <c r="H110" s="10"/>
      <c r="L110" s="10"/>
      <c r="M110" s="10"/>
      <c r="N110" s="10"/>
      <c r="O110" s="10"/>
      <c r="P110" s="10"/>
      <c r="Q110" s="10"/>
      <c r="R110" s="10"/>
    </row>
    <row r="111" spans="1:18" x14ac:dyDescent="0.25">
      <c r="A111" s="6">
        <v>2</v>
      </c>
      <c r="B111" s="10">
        <v>978.55909313833445</v>
      </c>
      <c r="C111" s="10">
        <f>Työkaluvälilehti!$B$12*(A111-A110)*Työkaluvälilehti!$B$5</f>
        <v>960</v>
      </c>
      <c r="D111" s="10">
        <f t="shared" ref="D111:D112" si="52">C111-B111</f>
        <v>-18.559093138334447</v>
      </c>
      <c r="E111" s="10">
        <f t="shared" ref="E111:F118" si="53">B111/(1+$B$1)^$A111</f>
        <v>922.38579803783057</v>
      </c>
      <c r="F111" s="10">
        <f t="shared" si="51"/>
        <v>904.8920727684042</v>
      </c>
      <c r="G111" s="10">
        <f t="shared" ref="G111:G112" si="54">F111-E111</f>
        <v>-17.493725269426363</v>
      </c>
      <c r="H111" s="10"/>
      <c r="L111" s="10"/>
      <c r="M111" s="10"/>
      <c r="N111" s="10"/>
      <c r="O111" s="10"/>
      <c r="P111" s="10"/>
      <c r="Q111" s="10"/>
      <c r="R111" s="10"/>
    </row>
    <row r="112" spans="1:18" x14ac:dyDescent="0.25">
      <c r="A112" s="6">
        <v>3</v>
      </c>
      <c r="B112" s="10">
        <v>978.55909313833445</v>
      </c>
      <c r="C112" s="10">
        <f>Työkaluvälilehti!$B$12*(A112-A111)*Työkaluvälilehti!$B$5</f>
        <v>960</v>
      </c>
      <c r="D112" s="10">
        <f t="shared" si="52"/>
        <v>-18.559093138334447</v>
      </c>
      <c r="E112" s="10">
        <f t="shared" si="53"/>
        <v>895.52019226973846</v>
      </c>
      <c r="F112" s="10">
        <f t="shared" si="51"/>
        <v>878.53599297903315</v>
      </c>
      <c r="G112" s="10">
        <f t="shared" si="54"/>
        <v>-16.984199290705305</v>
      </c>
      <c r="H112" s="10"/>
      <c r="L112" s="10"/>
      <c r="M112" s="10"/>
      <c r="N112" s="10"/>
      <c r="O112" s="10"/>
      <c r="P112" s="10"/>
      <c r="Q112" s="10"/>
      <c r="R112" s="10"/>
    </row>
    <row r="113" spans="1:18" x14ac:dyDescent="0.25">
      <c r="A113" s="6">
        <v>4</v>
      </c>
      <c r="B113" s="10">
        <v>978.55909313833445</v>
      </c>
      <c r="C113" s="10">
        <f>Työkaluvälilehti!$B$12*(A113-A112)*Työkaluvälilehti!$B$5</f>
        <v>960</v>
      </c>
      <c r="D113" s="10">
        <f>C113-B113</f>
        <v>-18.559093138334447</v>
      </c>
      <c r="E113" s="10">
        <f t="shared" si="53"/>
        <v>869.43707987353253</v>
      </c>
      <c r="F113" s="10">
        <f t="shared" si="53"/>
        <v>852.94756599906145</v>
      </c>
      <c r="G113" s="10">
        <f>F113-E113</f>
        <v>-16.489513874471072</v>
      </c>
      <c r="H113" s="10"/>
      <c r="L113" s="10"/>
      <c r="M113" s="10"/>
      <c r="N113" s="10"/>
      <c r="O113" s="10"/>
      <c r="P113" s="10"/>
      <c r="Q113" s="10"/>
      <c r="R113" s="10"/>
    </row>
    <row r="114" spans="1:18" x14ac:dyDescent="0.25">
      <c r="A114" s="6">
        <v>5</v>
      </c>
      <c r="B114" s="10">
        <v>978.55909313833445</v>
      </c>
      <c r="C114" s="10">
        <f>Työkaluvälilehti!$B$12*(A114-A113)*Työkaluvälilehti!$B$5</f>
        <v>960</v>
      </c>
      <c r="D114" s="10">
        <f>C114-B114</f>
        <v>-18.559093138334447</v>
      </c>
      <c r="E114" s="10">
        <f t="shared" si="53"/>
        <v>844.1136697801287</v>
      </c>
      <c r="F114" s="10">
        <f t="shared" si="53"/>
        <v>828.10443300879751</v>
      </c>
      <c r="G114" s="10">
        <f>F114-E114</f>
        <v>-16.009236771331189</v>
      </c>
      <c r="H114" s="10"/>
      <c r="L114" s="10"/>
      <c r="M114" s="10"/>
      <c r="N114" s="10"/>
      <c r="O114" s="10"/>
      <c r="P114" s="10"/>
      <c r="Q114" s="10"/>
      <c r="R114" s="10"/>
    </row>
    <row r="115" spans="1:18" x14ac:dyDescent="0.25">
      <c r="A115" s="6">
        <v>6</v>
      </c>
      <c r="B115" s="10">
        <v>978.55909313833445</v>
      </c>
      <c r="C115" s="10">
        <f>Työkaluvälilehti!$B$12*(A115-A114)*Työkaluvälilehti!$B$5</f>
        <v>960</v>
      </c>
      <c r="D115" s="10">
        <f>C115-B115</f>
        <v>-18.559093138334447</v>
      </c>
      <c r="E115" s="10">
        <f t="shared" si="53"/>
        <v>819.527834737989</v>
      </c>
      <c r="F115" s="10">
        <f t="shared" si="53"/>
        <v>803.9848864163082</v>
      </c>
      <c r="G115" s="10">
        <f>F115-E115</f>
        <v>-15.542948321680797</v>
      </c>
      <c r="H115" s="10"/>
      <c r="L115" s="10"/>
      <c r="M115" s="10"/>
      <c r="N115" s="10"/>
      <c r="O115" s="10"/>
      <c r="P115" s="10"/>
      <c r="Q115" s="10"/>
      <c r="R115" s="10"/>
    </row>
    <row r="116" spans="1:18" x14ac:dyDescent="0.25">
      <c r="A116" s="6">
        <v>7</v>
      </c>
      <c r="B116" s="10">
        <v>978.55909313833445</v>
      </c>
      <c r="C116" s="10">
        <f>Työkaluvälilehti!$B$12*(A116-A115)*Työkaluvälilehti!$B$5</f>
        <v>960</v>
      </c>
      <c r="D116" s="10">
        <f t="shared" ref="D116:D117" si="55">C116-B116</f>
        <v>-18.559093138334447</v>
      </c>
      <c r="E116" s="10">
        <f>B116/(1+$B$1)^$A116</f>
        <v>795.65809197863007</v>
      </c>
      <c r="F116" s="10">
        <f t="shared" si="53"/>
        <v>780.56785088961965</v>
      </c>
      <c r="G116" s="10">
        <f>F116-E116</f>
        <v>-15.090241089010419</v>
      </c>
      <c r="H116" s="10"/>
      <c r="L116" s="10"/>
      <c r="M116" s="10"/>
      <c r="N116" s="10"/>
      <c r="O116" s="10"/>
      <c r="P116" s="10"/>
      <c r="Q116" s="10"/>
      <c r="R116" s="10"/>
    </row>
    <row r="117" spans="1:18" x14ac:dyDescent="0.25">
      <c r="A117" s="6">
        <v>8</v>
      </c>
      <c r="B117" s="10">
        <v>978.55909313833445</v>
      </c>
      <c r="C117" s="10">
        <f>Työkaluvälilehti!$B$12*(A117-A116)*Työkaluvälilehti!$B$5</f>
        <v>960</v>
      </c>
      <c r="D117" s="10">
        <f t="shared" si="55"/>
        <v>-18.559093138334447</v>
      </c>
      <c r="E117" s="10">
        <f t="shared" ref="E117" si="56">B117/(1+$B$1)^$A117</f>
        <v>772.48358444527196</v>
      </c>
      <c r="F117" s="10">
        <f t="shared" si="53"/>
        <v>757.83286494137838</v>
      </c>
      <c r="G117" s="10">
        <f t="shared" ref="G117:G118" si="57">F117-E117</f>
        <v>-14.650719503893583</v>
      </c>
      <c r="H117" s="10"/>
      <c r="L117" s="10"/>
      <c r="M117" s="10"/>
      <c r="N117" s="10"/>
      <c r="O117" s="10"/>
      <c r="P117" s="10"/>
      <c r="Q117" s="10"/>
      <c r="R117" s="10"/>
    </row>
    <row r="118" spans="1:18" x14ac:dyDescent="0.25">
      <c r="A118" s="6">
        <v>9</v>
      </c>
      <c r="B118" s="10">
        <v>978.55909313833445</v>
      </c>
      <c r="C118" s="10">
        <f>Työkaluvälilehti!$B$12*(A118-A117)*Työkaluvälilehti!$B$5</f>
        <v>960</v>
      </c>
      <c r="D118" s="10">
        <f>C118-B118</f>
        <v>-18.559093138334447</v>
      </c>
      <c r="E118" s="10">
        <f>B118/(1+$B$1)^$A118</f>
        <v>749.98406256822523</v>
      </c>
      <c r="F118" s="10">
        <f t="shared" si="53"/>
        <v>735.76006304988186</v>
      </c>
      <c r="G118" s="10">
        <f t="shared" si="57"/>
        <v>-14.223999518343362</v>
      </c>
      <c r="H118" s="10"/>
      <c r="L118" s="10"/>
      <c r="M118" s="10"/>
      <c r="N118" s="10"/>
      <c r="O118" s="10"/>
      <c r="P118" s="10"/>
      <c r="Q118" s="10"/>
      <c r="R118" s="10"/>
    </row>
    <row r="119" spans="1:18" x14ac:dyDescent="0.25">
      <c r="A119" s="6">
        <v>10</v>
      </c>
      <c r="B119" s="10">
        <v>1008.9054497274817</v>
      </c>
      <c r="C119" s="10">
        <f>Työkaluvälilehti!$B$12*(A119-A118)*Työkaluvälilehti!$B$5</f>
        <v>960</v>
      </c>
      <c r="D119" s="10">
        <f>C119-B119</f>
        <v>-48.905449727481709</v>
      </c>
      <c r="E119" s="10">
        <f>B119/(1+$B$1)^$A119</f>
        <v>750.72040584836304</v>
      </c>
      <c r="F119" s="10">
        <f>C119/(1+$B$1)^$A119</f>
        <v>714.33015830085617</v>
      </c>
      <c r="G119" s="10">
        <f>F119-E119</f>
        <v>-36.390247547506874</v>
      </c>
      <c r="H119" s="10"/>
      <c r="L119" s="10"/>
      <c r="M119" s="10"/>
      <c r="N119" s="10"/>
      <c r="O119" s="10"/>
      <c r="P119" s="10"/>
      <c r="Q119" s="10"/>
      <c r="R119" s="10"/>
    </row>
    <row r="120" spans="1:18" x14ac:dyDescent="0.25">
      <c r="A120" s="6" t="s">
        <v>103</v>
      </c>
      <c r="B120" s="10" t="s">
        <v>107</v>
      </c>
      <c r="C120" s="10" t="s">
        <v>98</v>
      </c>
      <c r="D120" s="10" t="s">
        <v>99</v>
      </c>
      <c r="E120" s="10" t="s">
        <v>100</v>
      </c>
      <c r="F120" s="10" t="s">
        <v>101</v>
      </c>
      <c r="G120" s="10" t="s">
        <v>102</v>
      </c>
      <c r="H120" s="10" t="s">
        <v>83</v>
      </c>
      <c r="L120" s="10"/>
      <c r="M120" s="10"/>
      <c r="N120" s="10"/>
      <c r="O120" s="10"/>
      <c r="P120" s="10"/>
      <c r="Q120" s="10"/>
      <c r="R120" s="10"/>
    </row>
    <row r="121" spans="1:18" x14ac:dyDescent="0.25">
      <c r="B121" s="10">
        <f>SUM(B109:B119)</f>
        <v>10167.398124127083</v>
      </c>
      <c r="C121" s="10">
        <f t="shared" ref="C121:G121" si="58">SUM(C109:C119)</f>
        <v>8640</v>
      </c>
      <c r="D121" s="10">
        <f t="shared" si="58"/>
        <v>-1527.3981241270862</v>
      </c>
      <c r="E121" s="10">
        <f t="shared" si="58"/>
        <v>8747.2593413892719</v>
      </c>
      <c r="F121" s="10">
        <f t="shared" si="58"/>
        <v>7256.9558883533409</v>
      </c>
      <c r="G121" s="10">
        <f t="shared" si="58"/>
        <v>-1490.3034530359319</v>
      </c>
      <c r="H121" s="10">
        <f>G121/(1-(1/(1+$B$1))^(A119))</f>
        <v>-5823.6342931606969</v>
      </c>
      <c r="L121" s="10"/>
      <c r="M121" s="10"/>
      <c r="N121" s="10"/>
      <c r="O121" s="10"/>
      <c r="P121" s="10"/>
      <c r="Q121" s="10"/>
      <c r="R121" s="10"/>
    </row>
    <row r="122" spans="1:18" x14ac:dyDescent="0.25">
      <c r="B122" s="10" t="s">
        <v>104</v>
      </c>
      <c r="C122" s="10">
        <v>1844.739812412708</v>
      </c>
      <c r="D122" s="10"/>
      <c r="E122" s="10"/>
      <c r="F122" s="10"/>
      <c r="G122" s="10"/>
      <c r="H122" s="10"/>
      <c r="L122" s="10"/>
      <c r="M122" s="10"/>
      <c r="N122" s="10"/>
      <c r="O122" s="10"/>
      <c r="P122" s="10"/>
      <c r="Q122" s="10"/>
      <c r="R122" s="10"/>
    </row>
    <row r="123" spans="1:18" x14ac:dyDescent="0.25">
      <c r="A123" s="6" t="s">
        <v>11</v>
      </c>
      <c r="B123" s="10"/>
      <c r="C123" s="10"/>
      <c r="D123" s="10"/>
      <c r="E123" s="10"/>
      <c r="F123" s="10"/>
      <c r="G123" s="10"/>
      <c r="H123" s="10"/>
      <c r="L123" s="10"/>
      <c r="M123" s="10"/>
      <c r="N123" s="10"/>
      <c r="O123" s="10"/>
      <c r="P123" s="10"/>
      <c r="Q123" s="10"/>
      <c r="R123" s="10"/>
    </row>
    <row r="124" spans="1:18" x14ac:dyDescent="0.25">
      <c r="A124" s="6" t="s">
        <v>78</v>
      </c>
      <c r="B124" s="10" t="s">
        <v>107</v>
      </c>
      <c r="C124" s="10" t="s">
        <v>98</v>
      </c>
      <c r="D124" s="10" t="s">
        <v>99</v>
      </c>
      <c r="E124" s="10" t="s">
        <v>100</v>
      </c>
      <c r="F124" s="10" t="s">
        <v>101</v>
      </c>
      <c r="G124" s="10" t="s">
        <v>102</v>
      </c>
      <c r="H124" s="10"/>
      <c r="L124" s="10"/>
      <c r="M124" s="10"/>
      <c r="N124" s="10"/>
      <c r="O124" s="10"/>
      <c r="P124" s="10"/>
      <c r="Q124" s="10"/>
      <c r="R124" s="10"/>
    </row>
    <row r="125" spans="1:18" x14ac:dyDescent="0.25">
      <c r="A125" s="6">
        <v>0</v>
      </c>
      <c r="B125" s="10">
        <v>964.17833333333328</v>
      </c>
      <c r="C125" s="10">
        <v>0</v>
      </c>
      <c r="D125" s="10">
        <f>C125-B125</f>
        <v>-964.17833333333328</v>
      </c>
      <c r="E125" s="10">
        <f>B125/(1+$B$1)^$A125</f>
        <v>964.17833333333328</v>
      </c>
      <c r="F125" s="10">
        <f>C125/(1+$B$1)^$A125</f>
        <v>0</v>
      </c>
      <c r="G125" s="10">
        <f>F125-E125</f>
        <v>-964.17833333333328</v>
      </c>
      <c r="H125" s="10"/>
      <c r="L125" s="10"/>
      <c r="M125" s="10"/>
      <c r="N125" s="10"/>
      <c r="O125" s="10"/>
      <c r="P125" s="10"/>
      <c r="Q125" s="10"/>
      <c r="R125" s="10"/>
    </row>
    <row r="126" spans="1:18" x14ac:dyDescent="0.25">
      <c r="A126" s="6">
        <v>1</v>
      </c>
      <c r="B126" s="10">
        <v>685.90959595959589</v>
      </c>
      <c r="C126" s="10">
        <v>0</v>
      </c>
      <c r="D126" s="10">
        <f>C126-B126</f>
        <v>-685.90959595959589</v>
      </c>
      <c r="E126" s="10">
        <f>B126/(1+$B$1)^$A126</f>
        <v>665.93164656271449</v>
      </c>
      <c r="F126" s="10">
        <f t="shared" ref="F126:F128" si="59">C126/(1+$B$1)^$A126</f>
        <v>0</v>
      </c>
      <c r="G126" s="10">
        <f>F126-E126</f>
        <v>-665.93164656271449</v>
      </c>
      <c r="H126" s="10"/>
      <c r="L126" s="10"/>
      <c r="M126" s="10"/>
      <c r="N126" s="10"/>
      <c r="O126" s="10"/>
      <c r="P126" s="10"/>
      <c r="Q126" s="10"/>
      <c r="R126" s="10"/>
    </row>
    <row r="127" spans="1:18" x14ac:dyDescent="0.25">
      <c r="A127" s="6">
        <v>2</v>
      </c>
      <c r="B127" s="10">
        <v>1276.4018032045042</v>
      </c>
      <c r="C127" s="10">
        <f>Työkaluvälilehti!$B$13*(A127-A126)*Työkaluvälilehti!$B$6</f>
        <v>1500</v>
      </c>
      <c r="D127" s="10">
        <f t="shared" ref="D127:D128" si="60">C127-B127</f>
        <v>223.59819679549582</v>
      </c>
      <c r="E127" s="10">
        <f>B127/(1+$B$1)^$A127</f>
        <v>1203.1311181115132</v>
      </c>
      <c r="F127" s="10">
        <f>C127/(1+$B$1)^$A127</f>
        <v>1413.8938637006315</v>
      </c>
      <c r="G127" s="10">
        <f>F127-E127</f>
        <v>210.76274558911837</v>
      </c>
      <c r="H127" s="10"/>
      <c r="L127" s="10"/>
      <c r="M127" s="10"/>
      <c r="N127" s="10"/>
      <c r="O127" s="10"/>
      <c r="P127" s="10"/>
      <c r="Q127" s="10"/>
      <c r="R127" s="10"/>
    </row>
    <row r="128" spans="1:18" x14ac:dyDescent="0.25">
      <c r="A128" s="6">
        <v>3</v>
      </c>
      <c r="B128" s="10">
        <v>1276.4018032045042</v>
      </c>
      <c r="C128" s="10">
        <f>Työkaluvälilehti!$B$13*(A128-A127)*Työkaluvälilehti!$B$6</f>
        <v>1500</v>
      </c>
      <c r="D128" s="10">
        <f t="shared" si="60"/>
        <v>223.59819679549582</v>
      </c>
      <c r="E128" s="10">
        <f t="shared" ref="E128:F133" si="61">B128/(1+$B$1)^$A128</f>
        <v>1168.088464185935</v>
      </c>
      <c r="F128" s="10">
        <f t="shared" si="59"/>
        <v>1372.7124890297393</v>
      </c>
      <c r="G128" s="10">
        <f t="shared" ref="G128" si="62">F128-E128</f>
        <v>204.62402484380436</v>
      </c>
      <c r="H128" s="10"/>
      <c r="L128" s="10"/>
      <c r="M128" s="10"/>
      <c r="N128" s="10"/>
      <c r="O128" s="10"/>
      <c r="P128" s="10"/>
      <c r="Q128" s="10"/>
      <c r="R128" s="10"/>
    </row>
    <row r="129" spans="1:18" x14ac:dyDescent="0.25">
      <c r="A129" s="6">
        <v>4</v>
      </c>
      <c r="B129" s="10">
        <v>1276.4018032045042</v>
      </c>
      <c r="C129" s="10">
        <f>Työkaluvälilehti!$B$13*(A129-A128)*Työkaluvälilehti!$B$6</f>
        <v>1500</v>
      </c>
      <c r="D129" s="10">
        <f>C129-B129</f>
        <v>223.59819679549582</v>
      </c>
      <c r="E129" s="10">
        <f t="shared" si="61"/>
        <v>1134.066470083432</v>
      </c>
      <c r="F129" s="10">
        <f t="shared" si="61"/>
        <v>1332.7305718735336</v>
      </c>
      <c r="G129" s="10">
        <f>F129-E129</f>
        <v>198.66410179010154</v>
      </c>
      <c r="H129" s="10"/>
      <c r="L129" s="10"/>
      <c r="M129" s="10"/>
      <c r="N129" s="10"/>
      <c r="O129" s="10"/>
      <c r="P129" s="10"/>
      <c r="Q129" s="10"/>
      <c r="R129" s="10"/>
    </row>
    <row r="130" spans="1:18" x14ac:dyDescent="0.25">
      <c r="A130" s="6">
        <v>5</v>
      </c>
      <c r="B130" s="10">
        <v>1802.0945163827987</v>
      </c>
      <c r="C130" s="10">
        <f>Työkaluvälilehti!$B$13*(A130-A129)*Työkaluvälilehti!$B$6</f>
        <v>1500</v>
      </c>
      <c r="D130" s="10">
        <f>C130-B130</f>
        <v>-302.0945163827987</v>
      </c>
      <c r="E130" s="10">
        <f t="shared" si="61"/>
        <v>1554.502560122334</v>
      </c>
      <c r="F130" s="10">
        <f t="shared" si="61"/>
        <v>1293.9131765762461</v>
      </c>
      <c r="G130" s="10">
        <f>F130-E130</f>
        <v>-260.5893835460879</v>
      </c>
      <c r="H130" s="10"/>
      <c r="L130" s="10"/>
      <c r="M130" s="10"/>
      <c r="N130" s="10"/>
      <c r="O130" s="10"/>
      <c r="P130" s="10"/>
      <c r="Q130" s="10"/>
      <c r="R130" s="10"/>
    </row>
    <row r="131" spans="1:18" x14ac:dyDescent="0.25">
      <c r="A131" s="6">
        <v>6</v>
      </c>
      <c r="B131" s="10">
        <v>1276.4018032045042</v>
      </c>
      <c r="C131" s="10">
        <f>Työkaluvälilehti!$B$13*(A131-A130)*Työkaluvälilehti!$B$6</f>
        <v>1500</v>
      </c>
      <c r="D131" s="10">
        <f>C131-B131</f>
        <v>223.59819679549582</v>
      </c>
      <c r="E131" s="10">
        <f t="shared" si="61"/>
        <v>1068.9664153864003</v>
      </c>
      <c r="F131" s="10">
        <f t="shared" si="61"/>
        <v>1256.2263850254817</v>
      </c>
      <c r="G131" s="10">
        <f>F131-E131</f>
        <v>187.25996963908142</v>
      </c>
      <c r="H131" s="10"/>
      <c r="L131" s="10"/>
      <c r="M131" s="10"/>
      <c r="N131" s="10"/>
      <c r="O131" s="10"/>
      <c r="P131" s="10"/>
      <c r="Q131" s="10"/>
      <c r="R131" s="10"/>
    </row>
    <row r="132" spans="1:18" x14ac:dyDescent="0.25">
      <c r="A132" s="6">
        <v>7</v>
      </c>
      <c r="B132" s="10">
        <v>1276.4018032045042</v>
      </c>
      <c r="C132" s="10">
        <f>Työkaluvälilehti!$B$13*(A132-A131)*Työkaluvälilehti!$B$6</f>
        <v>1500</v>
      </c>
      <c r="D132" s="10">
        <f t="shared" ref="D132:D133" si="63">C132-B132</f>
        <v>223.59819679549582</v>
      </c>
      <c r="E132" s="10">
        <f t="shared" si="61"/>
        <v>1037.8314712489323</v>
      </c>
      <c r="F132" s="10">
        <f t="shared" si="61"/>
        <v>1219.6372670150306</v>
      </c>
      <c r="G132" s="10">
        <f>F132-E132</f>
        <v>181.8057957660983</v>
      </c>
      <c r="H132" s="10"/>
      <c r="L132" s="10"/>
      <c r="M132" s="10"/>
      <c r="N132" s="10"/>
      <c r="O132" s="10"/>
      <c r="P132" s="10"/>
      <c r="Q132" s="10"/>
      <c r="R132" s="10"/>
    </row>
    <row r="133" spans="1:18" x14ac:dyDescent="0.25">
      <c r="A133" s="6">
        <v>8</v>
      </c>
      <c r="B133" s="10">
        <v>1276.4018032045042</v>
      </c>
      <c r="C133" s="10">
        <f>Työkaluvälilehti!$B$13*(A133-A132)*Työkaluvälilehti!$B$6</f>
        <v>1500</v>
      </c>
      <c r="D133" s="10">
        <f t="shared" si="63"/>
        <v>223.59819679549582</v>
      </c>
      <c r="E133" s="10">
        <f t="shared" si="61"/>
        <v>1007.6033701445946</v>
      </c>
      <c r="F133" s="10">
        <f>C133/(1+$B$1)^$A133</f>
        <v>1184.1138514709037</v>
      </c>
      <c r="G133" s="10">
        <f t="shared" ref="G133:G134" si="64">F133-E133</f>
        <v>176.5104813263091</v>
      </c>
      <c r="H133" s="10"/>
      <c r="L133" s="10"/>
      <c r="M133" s="10"/>
      <c r="N133" s="10"/>
      <c r="O133" s="10"/>
      <c r="P133" s="10"/>
      <c r="Q133" s="10"/>
      <c r="R133" s="10"/>
    </row>
    <row r="134" spans="1:18" x14ac:dyDescent="0.25">
      <c r="A134" s="6">
        <v>9</v>
      </c>
      <c r="B134" s="10">
        <v>1276.4018032045042</v>
      </c>
      <c r="C134" s="10">
        <f>Työkaluvälilehti!$B$13*(A134-A133)*Työkaluvälilehti!$B$6</f>
        <v>1500</v>
      </c>
      <c r="D134" s="10">
        <f>C134-B134</f>
        <v>223.59819679549582</v>
      </c>
      <c r="E134" s="10">
        <f>B134/(1+$B$1)^$A134</f>
        <v>978.25569916950928</v>
      </c>
      <c r="F134" s="10">
        <f>C134/(1+$B$1)^$A134</f>
        <v>1149.6250985154404</v>
      </c>
      <c r="G134" s="10">
        <f t="shared" si="64"/>
        <v>171.36939934593113</v>
      </c>
      <c r="H134" s="10"/>
      <c r="L134" s="10"/>
      <c r="M134" s="10"/>
      <c r="N134" s="10"/>
      <c r="O134" s="10"/>
      <c r="P134" s="10"/>
      <c r="Q134" s="10"/>
      <c r="R134" s="10"/>
    </row>
    <row r="135" spans="1:18" x14ac:dyDescent="0.25">
      <c r="A135" s="6">
        <v>10</v>
      </c>
      <c r="B135" s="10">
        <v>651.18492042320304</v>
      </c>
      <c r="C135" s="10">
        <f>Työkaluvälilehti!$B$13*(A135-A134)*Työkaluvälilehti!$B$6</f>
        <v>1500</v>
      </c>
      <c r="D135" s="10">
        <f>C135-B135</f>
        <v>848.81507957679696</v>
      </c>
      <c r="E135" s="10">
        <f>B135/(1+$B$1)^$A135</f>
        <v>484.54273675941363</v>
      </c>
      <c r="F135" s="10">
        <f>C135/(1+$B$1)^$A135</f>
        <v>1116.1408723450877</v>
      </c>
      <c r="G135" s="10">
        <f>F135-E135</f>
        <v>631.59813558567407</v>
      </c>
      <c r="H135" s="10"/>
      <c r="L135" s="10"/>
      <c r="M135" s="10"/>
      <c r="N135" s="10"/>
      <c r="O135" s="10"/>
      <c r="P135" s="10"/>
      <c r="Q135" s="10"/>
      <c r="R135" s="10"/>
    </row>
    <row r="136" spans="1:18" x14ac:dyDescent="0.25">
      <c r="A136" s="6" t="s">
        <v>103</v>
      </c>
      <c r="B136" s="10" t="s">
        <v>107</v>
      </c>
      <c r="C136" s="10" t="s">
        <v>98</v>
      </c>
      <c r="D136" s="10" t="s">
        <v>99</v>
      </c>
      <c r="E136" s="10" t="s">
        <v>100</v>
      </c>
      <c r="F136" s="10" t="s">
        <v>101</v>
      </c>
      <c r="G136" s="10" t="s">
        <v>102</v>
      </c>
      <c r="H136" s="10" t="s">
        <v>83</v>
      </c>
      <c r="L136" s="10"/>
      <c r="M136" s="10"/>
      <c r="N136" s="10"/>
      <c r="O136" s="10"/>
      <c r="P136" s="10"/>
      <c r="Q136" s="10"/>
      <c r="R136" s="10"/>
    </row>
    <row r="137" spans="1:18" x14ac:dyDescent="0.25">
      <c r="B137" s="10">
        <f>SUM(B125:B135)</f>
        <v>13038.179988530461</v>
      </c>
      <c r="C137" s="10">
        <f t="shared" ref="C137:F137" si="65">SUM(C125:C135)</f>
        <v>13500</v>
      </c>
      <c r="D137" s="10">
        <f t="shared" si="65"/>
        <v>461.82001146953985</v>
      </c>
      <c r="E137" s="10">
        <f t="shared" si="65"/>
        <v>11267.098285108112</v>
      </c>
      <c r="F137" s="10">
        <f t="shared" si="65"/>
        <v>11338.993575552095</v>
      </c>
      <c r="G137" s="10">
        <f>SUM(G125:G135)</f>
        <v>71.895290443982731</v>
      </c>
      <c r="H137" s="10">
        <f>G137/(1-(1/(1+$B$1))^(A135))</f>
        <v>280.94404404243943</v>
      </c>
      <c r="L137" s="10"/>
      <c r="M137" s="10"/>
      <c r="N137" s="10"/>
      <c r="O137" s="10"/>
      <c r="P137" s="10"/>
      <c r="Q137" s="10"/>
      <c r="R137" s="10"/>
    </row>
  </sheetData>
  <sheetProtection selectLockedCells="1" selectUnlockedCells="1"/>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2D318C-EE96-43DD-B1F8-9CC1AF8ABAF2}">
  <dimension ref="A1:W137"/>
  <sheetViews>
    <sheetView workbookViewId="0">
      <selection activeCell="K1" sqref="K1:K1048576"/>
    </sheetView>
  </sheetViews>
  <sheetFormatPr defaultColWidth="4.7109375" defaultRowHeight="15" x14ac:dyDescent="0.25"/>
  <cols>
    <col min="1" max="1" width="4.85546875" style="6" bestFit="1" customWidth="1"/>
    <col min="2" max="7" width="6" style="6" bestFit="1" customWidth="1"/>
    <col min="8" max="8" width="6.7109375" style="6" bestFit="1" customWidth="1"/>
    <col min="9" max="9" width="6.85546875" style="6" customWidth="1"/>
    <col min="10" max="10" width="4.7109375" style="6"/>
    <col min="11" max="11" width="15.42578125" style="6" customWidth="1"/>
    <col min="12" max="16384" width="4.7109375" style="6"/>
  </cols>
  <sheetData>
    <row r="1" spans="1:23" x14ac:dyDescent="0.25">
      <c r="A1" s="6" t="s">
        <v>94</v>
      </c>
      <c r="B1" s="6">
        <v>0.02</v>
      </c>
    </row>
    <row r="3" spans="1:23" x14ac:dyDescent="0.25">
      <c r="A3" s="6" t="s">
        <v>95</v>
      </c>
    </row>
    <row r="4" spans="1:23" x14ac:dyDescent="0.25">
      <c r="A4" s="6" t="s">
        <v>78</v>
      </c>
      <c r="B4" s="6" t="s">
        <v>96</v>
      </c>
      <c r="C4" s="6" t="s">
        <v>97</v>
      </c>
      <c r="D4" s="6" t="s">
        <v>98</v>
      </c>
      <c r="E4" s="6" t="s">
        <v>99</v>
      </c>
      <c r="F4" s="6" t="s">
        <v>100</v>
      </c>
      <c r="G4" s="6" t="s">
        <v>101</v>
      </c>
      <c r="H4" s="6" t="s">
        <v>102</v>
      </c>
      <c r="T4" s="10"/>
      <c r="U4" s="10"/>
    </row>
    <row r="5" spans="1:23" x14ac:dyDescent="0.25">
      <c r="A5" s="6">
        <v>0</v>
      </c>
      <c r="B5" s="10">
        <v>2623.0520000000001</v>
      </c>
      <c r="C5" s="6">
        <v>0</v>
      </c>
      <c r="D5" s="10">
        <v>0</v>
      </c>
      <c r="E5" s="10">
        <f>D5-B5-C5</f>
        <v>-2623.0520000000001</v>
      </c>
      <c r="F5" s="10">
        <f>B5/(1+$B$1)^$A5+C5/(1+$B$1)^$A5</f>
        <v>2623.0520000000001</v>
      </c>
      <c r="G5" s="10">
        <f t="shared" ref="G5:G12" si="0">D5/(1+$B$1)^$A5</f>
        <v>0</v>
      </c>
      <c r="H5" s="10">
        <f>G5-F5</f>
        <v>-2623.0520000000001</v>
      </c>
      <c r="I5" s="10"/>
      <c r="K5" s="10">
        <f>E5/(1+$B$1)^(A5)</f>
        <v>-2623.0520000000001</v>
      </c>
      <c r="L5" s="10"/>
      <c r="M5" s="10"/>
      <c r="N5" s="10"/>
      <c r="O5" s="10"/>
      <c r="P5" s="10"/>
      <c r="Q5" s="10"/>
      <c r="R5" s="10"/>
    </row>
    <row r="6" spans="1:23" x14ac:dyDescent="0.25">
      <c r="A6" s="6">
        <v>1</v>
      </c>
      <c r="B6" s="10">
        <v>123.69</v>
      </c>
      <c r="C6" s="6">
        <v>0</v>
      </c>
      <c r="D6" s="10">
        <v>0</v>
      </c>
      <c r="E6" s="10">
        <f t="shared" ref="E6:E12" si="1">D6-B6-C6</f>
        <v>-123.69</v>
      </c>
      <c r="F6" s="10">
        <f t="shared" ref="F6" si="2">B6/(1+$B$1)^$A6+C6/(1+$B$1)^$A6</f>
        <v>121.26470588235294</v>
      </c>
      <c r="G6" s="10">
        <f t="shared" si="0"/>
        <v>0</v>
      </c>
      <c r="H6" s="10">
        <f>G6-F6</f>
        <v>-121.26470588235294</v>
      </c>
      <c r="I6" s="10"/>
      <c r="K6" s="10">
        <f t="shared" ref="K6:K12" si="3">E6/(1+$B$1)^(A6)</f>
        <v>-121.26470588235294</v>
      </c>
      <c r="L6" s="10"/>
      <c r="M6" s="10"/>
      <c r="N6" s="10"/>
      <c r="O6" s="10"/>
      <c r="P6" s="10"/>
      <c r="Q6" s="10"/>
      <c r="R6" s="10"/>
      <c r="S6" s="13"/>
      <c r="T6" s="10"/>
      <c r="U6" s="10"/>
      <c r="V6" s="10"/>
      <c r="W6" s="10"/>
    </row>
    <row r="7" spans="1:23" x14ac:dyDescent="0.25">
      <c r="A7" s="6">
        <v>5</v>
      </c>
      <c r="B7" s="10">
        <v>366.1198</v>
      </c>
      <c r="C7" s="6">
        <f>750.215+224.759*Laskuri!$B$13-1.873*Laskuri!$B$13^2</f>
        <v>1827.1849999999997</v>
      </c>
      <c r="D7" s="10">
        <f>Työkaluvälilehti!$B$10*(A7-A6)*Työkaluvälilehti!$B$2</f>
        <v>2510.2560000000003</v>
      </c>
      <c r="E7" s="10">
        <f>D7-B7-C7</f>
        <v>316.95120000000065</v>
      </c>
      <c r="F7" s="10">
        <f t="shared" ref="F7:F12" si="4">B7/(1+$B$1)^$A7+C7/(1+$B$1)^$A7</f>
        <v>1986.5437327078416</v>
      </c>
      <c r="G7" s="10">
        <f t="shared" si="0"/>
        <v>2273.6161997604058</v>
      </c>
      <c r="H7" s="10">
        <f t="shared" ref="H7:H11" si="5">G7-F7</f>
        <v>287.07246705256421</v>
      </c>
      <c r="I7" s="10"/>
      <c r="K7" s="10">
        <f t="shared" si="3"/>
        <v>287.07246705256421</v>
      </c>
      <c r="L7" s="10"/>
      <c r="M7" s="10"/>
      <c r="N7" s="10"/>
      <c r="O7" s="10"/>
      <c r="P7" s="10"/>
      <c r="Q7" s="10"/>
      <c r="R7" s="10"/>
      <c r="S7" s="13"/>
    </row>
    <row r="8" spans="1:23" x14ac:dyDescent="0.25">
      <c r="A8" s="6">
        <v>9</v>
      </c>
      <c r="B8" s="10">
        <v>366.1198</v>
      </c>
      <c r="C8" s="6">
        <f>750.215+224.759*Laskuri!$B$13-1.873*Laskuri!$B$13^2</f>
        <v>1827.1849999999997</v>
      </c>
      <c r="D8" s="10">
        <f>Työkaluvälilehti!$B$10*(A8-A7)*Työkaluvälilehti!$B$2</f>
        <v>2510.2560000000003</v>
      </c>
      <c r="E8" s="10">
        <f>D8-B8-C8</f>
        <v>316.95120000000065</v>
      </c>
      <c r="F8" s="10">
        <f t="shared" si="4"/>
        <v>1835.2593410637778</v>
      </c>
      <c r="G8" s="10">
        <f t="shared" si="0"/>
        <v>2100.4699266884363</v>
      </c>
      <c r="H8" s="10">
        <f t="shared" si="5"/>
        <v>265.21058562465851</v>
      </c>
      <c r="I8" s="10"/>
      <c r="K8" s="10">
        <f t="shared" si="3"/>
        <v>265.21058562465868</v>
      </c>
      <c r="L8" s="10"/>
      <c r="M8" s="10"/>
      <c r="N8" s="10"/>
      <c r="O8" s="10"/>
      <c r="P8" s="10"/>
      <c r="Q8" s="10"/>
      <c r="R8" s="10"/>
      <c r="S8" s="13"/>
    </row>
    <row r="9" spans="1:23" x14ac:dyDescent="0.25">
      <c r="A9" s="6">
        <v>13</v>
      </c>
      <c r="B9" s="10">
        <v>366.1198</v>
      </c>
      <c r="C9" s="6">
        <f>750.215+224.759*Laskuri!$B$13-1.873*Laskuri!$B$13^2</f>
        <v>1827.1849999999997</v>
      </c>
      <c r="D9" s="10">
        <f>Työkaluvälilehti!$B$10*(A9-A8)*Työkaluvälilehti!$B$2</f>
        <v>2510.2560000000003</v>
      </c>
      <c r="E9" s="10">
        <f>D9-B9-C9</f>
        <v>316.95120000000065</v>
      </c>
      <c r="F9" s="10">
        <f t="shared" si="4"/>
        <v>1695.4959478142055</v>
      </c>
      <c r="G9" s="10">
        <f t="shared" si="0"/>
        <v>1940.5095342773595</v>
      </c>
      <c r="H9" s="10">
        <f t="shared" si="5"/>
        <v>245.01358646315407</v>
      </c>
      <c r="I9" s="10"/>
      <c r="K9" s="10">
        <f t="shared" si="3"/>
        <v>245.01358646315413</v>
      </c>
      <c r="L9" s="10"/>
      <c r="M9" s="10"/>
      <c r="N9" s="10"/>
      <c r="O9" s="10"/>
      <c r="P9" s="10"/>
      <c r="Q9" s="10"/>
      <c r="R9" s="10"/>
      <c r="S9" s="13"/>
    </row>
    <row r="10" spans="1:23" x14ac:dyDescent="0.25">
      <c r="A10" s="6">
        <v>17</v>
      </c>
      <c r="B10" s="10">
        <v>366.1198</v>
      </c>
      <c r="C10" s="6">
        <f>750.215+224.759*Laskuri!$B$13-1.873*Laskuri!$B$13^2</f>
        <v>1827.1849999999997</v>
      </c>
      <c r="D10" s="10">
        <f>Työkaluvälilehti!$B$10*(A10-A9)*Työkaluvälilehti!$B$2</f>
        <v>2510.2560000000003</v>
      </c>
      <c r="E10" s="10">
        <f t="shared" si="1"/>
        <v>316.95120000000065</v>
      </c>
      <c r="F10" s="10">
        <f t="shared" si="4"/>
        <v>1566.376176234643</v>
      </c>
      <c r="G10" s="10">
        <f t="shared" si="0"/>
        <v>1792.7308574029798</v>
      </c>
      <c r="H10" s="10">
        <f t="shared" si="5"/>
        <v>226.35468116833681</v>
      </c>
      <c r="I10" s="10"/>
      <c r="K10" s="10">
        <f t="shared" si="3"/>
        <v>226.35468116833678</v>
      </c>
      <c r="L10" s="10"/>
      <c r="M10" s="10"/>
      <c r="N10" s="10"/>
      <c r="O10" s="10"/>
      <c r="P10" s="10"/>
      <c r="Q10" s="10"/>
      <c r="R10" s="10"/>
      <c r="S10" s="13"/>
    </row>
    <row r="11" spans="1:23" x14ac:dyDescent="0.25">
      <c r="A11" s="6">
        <v>21</v>
      </c>
      <c r="B11" s="10">
        <v>59</v>
      </c>
      <c r="C11" s="6">
        <f>750.215+224.759*Laskuri!$B$13-1.873*Laskuri!$B$13^2</f>
        <v>1827.1849999999997</v>
      </c>
      <c r="D11" s="10">
        <f>Työkaluvälilehti!$B$10*(A11-A10)*Työkaluvälilehti!$B$2</f>
        <v>2510.2560000000003</v>
      </c>
      <c r="E11" s="10">
        <f t="shared" si="1"/>
        <v>624.07100000000059</v>
      </c>
      <c r="F11" s="10">
        <f t="shared" si="4"/>
        <v>1244.4592489592369</v>
      </c>
      <c r="G11" s="10">
        <f t="shared" si="0"/>
        <v>1656.2062027083343</v>
      </c>
      <c r="H11" s="10">
        <f t="shared" si="5"/>
        <v>411.74695374909743</v>
      </c>
      <c r="I11" s="10"/>
      <c r="K11" s="10">
        <f t="shared" si="3"/>
        <v>411.7469537490972</v>
      </c>
      <c r="L11" s="10"/>
      <c r="M11" s="10"/>
      <c r="N11" s="10"/>
      <c r="O11" s="10"/>
      <c r="P11" s="10"/>
      <c r="Q11" s="10"/>
      <c r="R11" s="10"/>
      <c r="S11" s="13"/>
    </row>
    <row r="12" spans="1:23" x14ac:dyDescent="0.25">
      <c r="A12" s="6">
        <v>22</v>
      </c>
      <c r="B12" s="10">
        <v>400.56279999999998</v>
      </c>
      <c r="C12" s="6">
        <v>0</v>
      </c>
      <c r="D12" s="10">
        <v>0</v>
      </c>
      <c r="E12" s="10">
        <f t="shared" si="1"/>
        <v>-400.56279999999998</v>
      </c>
      <c r="F12" s="10">
        <f t="shared" si="4"/>
        <v>259.09965543011947</v>
      </c>
      <c r="G12" s="10">
        <f t="shared" si="0"/>
        <v>0</v>
      </c>
      <c r="H12" s="10">
        <f>G12-F12</f>
        <v>-259.09965543011947</v>
      </c>
      <c r="I12" s="10"/>
      <c r="K12" s="10">
        <f t="shared" si="3"/>
        <v>-259.09965543011947</v>
      </c>
      <c r="L12" s="10"/>
      <c r="M12" s="10"/>
      <c r="N12" s="10"/>
      <c r="O12" s="10"/>
      <c r="P12" s="10"/>
      <c r="Q12" s="10"/>
      <c r="R12" s="10"/>
      <c r="S12" s="13"/>
    </row>
    <row r="13" spans="1:23" x14ac:dyDescent="0.25">
      <c r="A13" s="6" t="s">
        <v>103</v>
      </c>
      <c r="B13" s="10" t="s">
        <v>96</v>
      </c>
      <c r="C13" s="6" t="s">
        <v>97</v>
      </c>
      <c r="D13" s="10" t="s">
        <v>98</v>
      </c>
      <c r="E13" s="10" t="s">
        <v>99</v>
      </c>
      <c r="F13" s="10" t="s">
        <v>100</v>
      </c>
      <c r="G13" s="10" t="s">
        <v>101</v>
      </c>
      <c r="H13" s="10" t="s">
        <v>102</v>
      </c>
      <c r="I13" s="10" t="s">
        <v>83</v>
      </c>
      <c r="K13" s="10"/>
      <c r="L13" s="10"/>
      <c r="M13" s="10"/>
      <c r="N13" s="10"/>
      <c r="O13" s="10"/>
      <c r="P13" s="10"/>
      <c r="Q13" s="10"/>
      <c r="R13" s="10"/>
    </row>
    <row r="14" spans="1:23" x14ac:dyDescent="0.25">
      <c r="B14" s="10">
        <f t="shared" ref="B14:H14" si="6">SUM(B5:B12)</f>
        <v>4670.7839999999997</v>
      </c>
      <c r="C14" s="10">
        <f t="shared" si="6"/>
        <v>9135.9249999999993</v>
      </c>
      <c r="D14" s="10">
        <f t="shared" si="6"/>
        <v>12551.280000000002</v>
      </c>
      <c r="E14" s="10">
        <f t="shared" si="6"/>
        <v>-1255.4289999999974</v>
      </c>
      <c r="F14" s="10">
        <f t="shared" si="6"/>
        <v>11331.550808092179</v>
      </c>
      <c r="G14" s="10">
        <f t="shared" si="6"/>
        <v>9763.5327208375147</v>
      </c>
      <c r="H14" s="10">
        <f t="shared" si="6"/>
        <v>-1568.0180872546616</v>
      </c>
      <c r="I14" s="10">
        <f>H14/(1-(1/(1+$B$1))^(A12))</f>
        <v>-4439.9530166749846</v>
      </c>
      <c r="K14" s="10">
        <f>SUM(K5:K12)</f>
        <v>-1568.0180872546621</v>
      </c>
      <c r="L14" s="10"/>
      <c r="M14" s="10"/>
      <c r="N14" s="10"/>
      <c r="O14" s="10"/>
      <c r="P14" s="10"/>
      <c r="Q14" s="10"/>
      <c r="R14" s="10"/>
    </row>
    <row r="15" spans="1:23" x14ac:dyDescent="0.25">
      <c r="B15" s="10" t="s">
        <v>104</v>
      </c>
      <c r="C15" s="10">
        <v>1397.5694928126527</v>
      </c>
      <c r="D15" s="10"/>
      <c r="E15" s="10"/>
      <c r="F15" s="10"/>
      <c r="G15" s="10"/>
      <c r="H15" s="10"/>
      <c r="K15" s="10"/>
      <c r="L15" s="10"/>
      <c r="M15" s="10"/>
      <c r="N15" s="10"/>
      <c r="O15" s="10"/>
      <c r="P15" s="10"/>
      <c r="Q15" s="10"/>
      <c r="R15" s="10"/>
    </row>
    <row r="16" spans="1:23" x14ac:dyDescent="0.25">
      <c r="B16" s="10"/>
      <c r="C16" s="10"/>
      <c r="D16" s="10"/>
      <c r="E16" s="10"/>
      <c r="F16" s="10"/>
      <c r="G16" s="10"/>
      <c r="H16" s="10"/>
      <c r="K16" s="10"/>
      <c r="L16" s="10"/>
      <c r="M16" s="10"/>
      <c r="N16" s="10"/>
      <c r="O16" s="10"/>
      <c r="P16" s="10"/>
      <c r="Q16" s="10"/>
      <c r="R16" s="10"/>
    </row>
    <row r="17" spans="1:18" x14ac:dyDescent="0.25">
      <c r="B17" s="10"/>
      <c r="C17" s="10"/>
      <c r="D17" s="10"/>
      <c r="E17" s="10"/>
      <c r="F17" s="10"/>
      <c r="G17" s="10"/>
      <c r="H17" s="10"/>
      <c r="K17" s="10"/>
      <c r="L17" s="10"/>
      <c r="M17" s="10"/>
      <c r="N17" s="10"/>
      <c r="O17" s="10"/>
      <c r="P17" s="10"/>
      <c r="Q17" s="10"/>
      <c r="R17" s="10"/>
    </row>
    <row r="18" spans="1:18" x14ac:dyDescent="0.25">
      <c r="A18" s="6" t="s">
        <v>105</v>
      </c>
      <c r="B18" s="10"/>
      <c r="C18" s="10"/>
      <c r="D18" s="10"/>
      <c r="E18" s="10"/>
      <c r="F18" s="10"/>
      <c r="G18" s="10"/>
      <c r="H18" s="10"/>
      <c r="K18" s="10"/>
      <c r="L18" s="10"/>
      <c r="M18" s="10"/>
      <c r="N18" s="10"/>
      <c r="O18" s="10"/>
      <c r="P18" s="10"/>
      <c r="Q18" s="10"/>
      <c r="R18" s="10"/>
    </row>
    <row r="19" spans="1:18" x14ac:dyDescent="0.25">
      <c r="A19" s="6" t="s">
        <v>78</v>
      </c>
      <c r="B19" s="10" t="s">
        <v>96</v>
      </c>
      <c r="C19" s="6" t="s">
        <v>97</v>
      </c>
      <c r="D19" s="10" t="s">
        <v>98</v>
      </c>
      <c r="E19" s="10" t="s">
        <v>99</v>
      </c>
      <c r="F19" s="10" t="s">
        <v>100</v>
      </c>
      <c r="G19" s="10" t="s">
        <v>101</v>
      </c>
      <c r="H19" s="10" t="s">
        <v>102</v>
      </c>
      <c r="I19" s="10"/>
      <c r="K19" s="10"/>
      <c r="L19" s="10"/>
      <c r="M19" s="10"/>
      <c r="N19" s="10"/>
      <c r="O19" s="10"/>
      <c r="P19" s="10"/>
      <c r="Q19" s="10"/>
      <c r="R19" s="10"/>
    </row>
    <row r="20" spans="1:18" x14ac:dyDescent="0.25">
      <c r="A20" s="6">
        <v>0</v>
      </c>
      <c r="B20" s="10">
        <v>2707.34</v>
      </c>
      <c r="C20" s="6">
        <v>0</v>
      </c>
      <c r="D20" s="10">
        <v>0</v>
      </c>
      <c r="E20" s="10">
        <f>D20-B20-C20</f>
        <v>-2707.34</v>
      </c>
      <c r="F20" s="10">
        <f>B20/(1+$B$1)^$A20+C20/(1+$B$1)^$A20</f>
        <v>2707.34</v>
      </c>
      <c r="G20" s="10">
        <f t="shared" ref="G20:G27" si="7">D20/(1+$B$1)^$A20</f>
        <v>0</v>
      </c>
      <c r="H20" s="10">
        <f>G20-F20</f>
        <v>-2707.34</v>
      </c>
      <c r="I20" s="10"/>
      <c r="K20" s="10">
        <f>E20/(1+$B$1)^(A20)</f>
        <v>-2707.34</v>
      </c>
      <c r="L20" s="10"/>
      <c r="M20" s="10"/>
      <c r="N20" s="10"/>
      <c r="O20" s="10"/>
      <c r="P20" s="10"/>
      <c r="Q20" s="10"/>
      <c r="R20" s="10"/>
    </row>
    <row r="21" spans="1:18" x14ac:dyDescent="0.25">
      <c r="A21" s="6">
        <v>1</v>
      </c>
      <c r="B21" s="10">
        <v>320.15999999999997</v>
      </c>
      <c r="C21" s="6">
        <v>0</v>
      </c>
      <c r="D21" s="10">
        <v>0</v>
      </c>
      <c r="E21" s="10">
        <f t="shared" ref="E21:E27" si="8">D21-B21-C21</f>
        <v>-320.15999999999997</v>
      </c>
      <c r="F21" s="10">
        <f t="shared" ref="F21:F27" si="9">B21/(1+$B$1)^$A21+C21/(1+$B$1)^$A21</f>
        <v>313.88235294117641</v>
      </c>
      <c r="G21" s="10">
        <f t="shared" si="7"/>
        <v>0</v>
      </c>
      <c r="H21" s="10">
        <f>G21-F21</f>
        <v>-313.88235294117641</v>
      </c>
      <c r="I21" s="10"/>
      <c r="K21" s="10">
        <f t="shared" ref="K21:K27" si="10">E21/(1+$B$1)^(A21)</f>
        <v>-313.88235294117641</v>
      </c>
      <c r="L21" s="10"/>
      <c r="M21" s="10"/>
      <c r="N21" s="10"/>
      <c r="O21" s="10"/>
      <c r="P21" s="10"/>
      <c r="Q21" s="10"/>
      <c r="R21" s="10"/>
    </row>
    <row r="22" spans="1:18" x14ac:dyDescent="0.25">
      <c r="A22" s="6">
        <v>5</v>
      </c>
      <c r="B22" s="6">
        <v>441.2</v>
      </c>
      <c r="C22" s="6">
        <f>750.215+224.759*Laskuri!$B$13-1.873*Laskuri!$B$13^2</f>
        <v>1827.1849999999997</v>
      </c>
      <c r="D22" s="10">
        <f>Työkaluvälilehti!$B$10*(A22-A21)*Työkaluvälilehti!$B$2</f>
        <v>2510.2560000000003</v>
      </c>
      <c r="E22" s="10">
        <f>D22-B22-C22</f>
        <v>241.87100000000078</v>
      </c>
      <c r="F22" s="10">
        <f>B22/(1+$B$1)^$A22+C22/(1+$B$1)^$A22</f>
        <v>2054.5461830560334</v>
      </c>
      <c r="G22" s="10">
        <f t="shared" si="7"/>
        <v>2273.6161997604058</v>
      </c>
      <c r="H22" s="10">
        <f t="shared" ref="H22:H26" si="11">G22-F22</f>
        <v>219.07001670437239</v>
      </c>
      <c r="I22" s="10"/>
      <c r="K22" s="10">
        <f t="shared" si="10"/>
        <v>219.07001670437228</v>
      </c>
      <c r="L22" s="10"/>
      <c r="M22" s="10"/>
      <c r="N22" s="10"/>
      <c r="O22" s="10"/>
      <c r="P22" s="10"/>
      <c r="Q22" s="10"/>
      <c r="R22" s="10"/>
    </row>
    <row r="23" spans="1:18" x14ac:dyDescent="0.25">
      <c r="A23" s="6">
        <v>9</v>
      </c>
      <c r="B23" s="6">
        <v>441.2</v>
      </c>
      <c r="C23" s="6">
        <f>750.215+224.759*Laskuri!$B$13-1.873*Laskuri!$B$13^2</f>
        <v>1827.1849999999997</v>
      </c>
      <c r="D23" s="10">
        <f>Työkaluvälilehti!$B$10*(A23-A22)*Työkaluvälilehti!$B$2</f>
        <v>2510.2560000000003</v>
      </c>
      <c r="E23" s="10">
        <f>D23-B23-C23</f>
        <v>241.87100000000078</v>
      </c>
      <c r="F23" s="10">
        <f>B23/(1+$B$1)^$A23+C23/(1+$B$1)^$A23</f>
        <v>1898.0830937765502</v>
      </c>
      <c r="G23" s="10">
        <f t="shared" si="7"/>
        <v>2100.4699266884363</v>
      </c>
      <c r="H23" s="10">
        <f t="shared" si="11"/>
        <v>202.38683291188613</v>
      </c>
      <c r="I23" s="10"/>
      <c r="K23" s="10">
        <f t="shared" si="10"/>
        <v>202.38683291188642</v>
      </c>
      <c r="L23" s="10"/>
      <c r="M23" s="10"/>
      <c r="N23" s="10"/>
      <c r="O23" s="10"/>
      <c r="P23" s="10"/>
      <c r="Q23" s="10"/>
      <c r="R23" s="10"/>
    </row>
    <row r="24" spans="1:18" x14ac:dyDescent="0.25">
      <c r="A24" s="6">
        <v>13</v>
      </c>
      <c r="B24" s="6">
        <v>441.2</v>
      </c>
      <c r="C24" s="6">
        <f>750.215+224.759*Laskuri!$B$13-1.873*Laskuri!$B$13^2</f>
        <v>1827.1849999999997</v>
      </c>
      <c r="D24" s="10">
        <f>Työkaluvälilehti!$B$10*(A24-A23)*Työkaluvälilehti!$B$2</f>
        <v>2510.2560000000003</v>
      </c>
      <c r="E24" s="10">
        <f>D24-B24-C24</f>
        <v>241.87100000000078</v>
      </c>
      <c r="F24" s="10">
        <f>B24/(1+$B$1)^$A24+C24/(1+$B$1)^$A24</f>
        <v>1753.5353844037211</v>
      </c>
      <c r="G24" s="10">
        <f t="shared" si="7"/>
        <v>1940.5095342773595</v>
      </c>
      <c r="H24" s="10">
        <f t="shared" si="11"/>
        <v>186.97414987363845</v>
      </c>
      <c r="I24" s="10"/>
      <c r="K24" s="10">
        <f t="shared" si="10"/>
        <v>186.97414987363865</v>
      </c>
      <c r="L24" s="10"/>
      <c r="M24" s="10"/>
      <c r="N24" s="10"/>
      <c r="O24" s="10"/>
      <c r="P24" s="10"/>
      <c r="Q24" s="10"/>
      <c r="R24" s="10"/>
    </row>
    <row r="25" spans="1:18" x14ac:dyDescent="0.25">
      <c r="A25" s="6">
        <v>17</v>
      </c>
      <c r="B25" s="6">
        <v>441.2</v>
      </c>
      <c r="C25" s="6">
        <f>750.215+224.759*Laskuri!$B$13-1.873*Laskuri!$B$13^2</f>
        <v>1827.1849999999997</v>
      </c>
      <c r="D25" s="10">
        <f>Työkaluvälilehti!$B$10*(A25-A24)*Työkaluvälilehti!$B$2</f>
        <v>2510.2560000000003</v>
      </c>
      <c r="E25" s="10">
        <f t="shared" si="8"/>
        <v>241.87100000000078</v>
      </c>
      <c r="F25" s="10">
        <f t="shared" si="9"/>
        <v>1619.9956442570228</v>
      </c>
      <c r="G25" s="10">
        <f t="shared" si="7"/>
        <v>1792.7308574029798</v>
      </c>
      <c r="H25" s="10">
        <f t="shared" si="11"/>
        <v>172.735213145957</v>
      </c>
      <c r="I25" s="10"/>
      <c r="K25" s="10">
        <f t="shared" si="10"/>
        <v>172.735213145957</v>
      </c>
      <c r="L25" s="10"/>
      <c r="M25" s="10"/>
      <c r="N25" s="10"/>
      <c r="O25" s="10"/>
      <c r="P25" s="10"/>
      <c r="Q25" s="10"/>
      <c r="R25" s="10"/>
    </row>
    <row r="26" spans="1:18" x14ac:dyDescent="0.25">
      <c r="A26" s="6">
        <v>21</v>
      </c>
      <c r="B26" s="10">
        <v>59</v>
      </c>
      <c r="C26" s="6">
        <f>750.215+224.759*Laskuri!$B$13-1.873*Laskuri!$B$13^2</f>
        <v>1827.1849999999997</v>
      </c>
      <c r="D26" s="10">
        <f>Työkaluvälilehti!$B$10*(A26-A25)*Työkaluvälilehti!$B$2</f>
        <v>2510.2560000000003</v>
      </c>
      <c r="E26" s="10">
        <f t="shared" si="8"/>
        <v>624.07100000000059</v>
      </c>
      <c r="F26" s="10">
        <f t="shared" si="9"/>
        <v>1244.4592489592369</v>
      </c>
      <c r="G26" s="10">
        <f t="shared" si="7"/>
        <v>1656.2062027083343</v>
      </c>
      <c r="H26" s="10">
        <f t="shared" si="11"/>
        <v>411.74695374909743</v>
      </c>
      <c r="I26" s="10"/>
      <c r="K26" s="10">
        <f t="shared" si="10"/>
        <v>411.7469537490972</v>
      </c>
      <c r="L26" s="10"/>
      <c r="M26" s="10"/>
      <c r="N26" s="10"/>
      <c r="O26" s="10"/>
      <c r="P26" s="10"/>
      <c r="Q26" s="10"/>
      <c r="R26" s="10"/>
    </row>
    <row r="27" spans="1:18" x14ac:dyDescent="0.25">
      <c r="A27" s="6">
        <v>22</v>
      </c>
      <c r="B27" s="10">
        <v>400.56279999999998</v>
      </c>
      <c r="C27" s="6">
        <v>0</v>
      </c>
      <c r="D27" s="10">
        <v>0</v>
      </c>
      <c r="E27" s="10">
        <f t="shared" si="8"/>
        <v>-400.56279999999998</v>
      </c>
      <c r="F27" s="10">
        <f t="shared" si="9"/>
        <v>259.09965543011947</v>
      </c>
      <c r="G27" s="10">
        <f t="shared" si="7"/>
        <v>0</v>
      </c>
      <c r="H27" s="10">
        <f>G27-F27</f>
        <v>-259.09965543011947</v>
      </c>
      <c r="I27" s="10"/>
      <c r="K27" s="10">
        <f t="shared" si="10"/>
        <v>-259.09965543011947</v>
      </c>
      <c r="L27" s="10"/>
      <c r="M27" s="10"/>
      <c r="N27" s="10"/>
      <c r="O27" s="10"/>
      <c r="P27" s="10"/>
      <c r="Q27" s="10"/>
      <c r="R27" s="10"/>
    </row>
    <row r="28" spans="1:18" x14ac:dyDescent="0.25">
      <c r="A28" s="6" t="s">
        <v>103</v>
      </c>
      <c r="B28" s="10" t="s">
        <v>96</v>
      </c>
      <c r="C28" s="6" t="s">
        <v>97</v>
      </c>
      <c r="D28" s="10" t="s">
        <v>98</v>
      </c>
      <c r="E28" s="10" t="s">
        <v>99</v>
      </c>
      <c r="F28" s="10" t="s">
        <v>100</v>
      </c>
      <c r="G28" s="10" t="s">
        <v>101</v>
      </c>
      <c r="H28" s="10" t="s">
        <v>102</v>
      </c>
      <c r="I28" s="10" t="s">
        <v>83</v>
      </c>
      <c r="K28" s="10"/>
      <c r="L28" s="10"/>
      <c r="M28" s="10"/>
      <c r="N28" s="10"/>
      <c r="O28" s="10"/>
      <c r="P28" s="10"/>
      <c r="Q28" s="10"/>
      <c r="R28" s="10"/>
    </row>
    <row r="29" spans="1:18" x14ac:dyDescent="0.25">
      <c r="B29" s="10">
        <f>SUM(B20:B27)</f>
        <v>5251.862799999999</v>
      </c>
      <c r="C29" s="10">
        <f>SUM(C20:C27)</f>
        <v>9135.9249999999993</v>
      </c>
      <c r="D29" s="10">
        <f>SUM(D20:D27)</f>
        <v>12551.280000000002</v>
      </c>
      <c r="E29" s="10">
        <f t="shared" ref="E29" si="12">SUM(E20:E27)</f>
        <v>-1836.5077999999953</v>
      </c>
      <c r="F29" s="10">
        <f>SUM(F20:F27)</f>
        <v>11850.94156282386</v>
      </c>
      <c r="G29" s="10">
        <f t="shared" ref="G29" si="13">SUM(G20:G27)</f>
        <v>9763.5327208375147</v>
      </c>
      <c r="H29" s="10">
        <f>SUM(H20:H27)</f>
        <v>-2087.4088419863451</v>
      </c>
      <c r="I29" s="10">
        <f>H29/(1-(1/(1+$B$1))^(A27))</f>
        <v>-5910.6443097464708</v>
      </c>
      <c r="K29" s="10">
        <f>SUM(K20:K27)</f>
        <v>-2087.4088419863447</v>
      </c>
      <c r="L29" s="10"/>
      <c r="M29" s="10"/>
      <c r="N29" s="10"/>
      <c r="O29" s="10"/>
      <c r="P29" s="10"/>
      <c r="Q29" s="10"/>
      <c r="R29" s="10"/>
    </row>
    <row r="30" spans="1:18" x14ac:dyDescent="0.25">
      <c r="B30" s="10" t="s">
        <v>104</v>
      </c>
      <c r="C30" s="10">
        <v>1436.0586439748142</v>
      </c>
      <c r="D30" s="10"/>
      <c r="E30" s="10"/>
      <c r="F30" s="10"/>
      <c r="G30" s="10"/>
      <c r="H30" s="10"/>
      <c r="L30" s="10"/>
      <c r="M30" s="10"/>
      <c r="N30" s="10"/>
      <c r="O30" s="10"/>
      <c r="P30" s="10"/>
      <c r="Q30" s="10"/>
      <c r="R30" s="10"/>
    </row>
    <row r="31" spans="1:18" x14ac:dyDescent="0.25">
      <c r="A31" s="6" t="s">
        <v>106</v>
      </c>
      <c r="B31" s="10"/>
      <c r="C31" s="10"/>
      <c r="D31" s="10"/>
      <c r="E31" s="10"/>
      <c r="F31" s="10"/>
      <c r="G31" s="10"/>
      <c r="H31" s="10"/>
      <c r="L31" s="10"/>
      <c r="M31" s="10"/>
      <c r="N31" s="10"/>
      <c r="O31" s="10"/>
      <c r="P31" s="10"/>
      <c r="Q31" s="10"/>
      <c r="R31" s="10"/>
    </row>
    <row r="32" spans="1:18" x14ac:dyDescent="0.25">
      <c r="A32" s="6" t="s">
        <v>78</v>
      </c>
      <c r="B32" s="10" t="s">
        <v>107</v>
      </c>
      <c r="C32" s="10" t="s">
        <v>98</v>
      </c>
      <c r="D32" s="10" t="s">
        <v>99</v>
      </c>
      <c r="E32" s="10" t="s">
        <v>100</v>
      </c>
      <c r="F32" s="10" t="s">
        <v>101</v>
      </c>
      <c r="G32" s="10" t="s">
        <v>102</v>
      </c>
      <c r="H32" s="10"/>
      <c r="L32" s="10"/>
      <c r="M32" s="10"/>
      <c r="N32" s="10"/>
      <c r="O32" s="10"/>
      <c r="P32" s="10"/>
      <c r="Q32" s="10"/>
      <c r="R32" s="10"/>
    </row>
    <row r="33" spans="1:18" x14ac:dyDescent="0.25">
      <c r="A33" s="6">
        <v>0</v>
      </c>
      <c r="B33" s="10">
        <v>370</v>
      </c>
      <c r="C33" s="10">
        <v>0</v>
      </c>
      <c r="D33" s="10">
        <f>C33-B33</f>
        <v>-370</v>
      </c>
      <c r="E33" s="10">
        <f>B33/(1+$B$1)^$A33</f>
        <v>370</v>
      </c>
      <c r="F33" s="10">
        <f>C33/(1+$B$1)^$A33</f>
        <v>0</v>
      </c>
      <c r="G33" s="10">
        <f>F33-E33</f>
        <v>-370</v>
      </c>
      <c r="H33" s="10"/>
      <c r="L33" s="10"/>
      <c r="M33" s="10"/>
      <c r="N33" s="10"/>
      <c r="O33" s="10"/>
      <c r="P33" s="10"/>
      <c r="Q33" s="10"/>
      <c r="R33" s="10"/>
    </row>
    <row r="34" spans="1:18" x14ac:dyDescent="0.25">
      <c r="A34" s="6">
        <v>22</v>
      </c>
      <c r="B34" s="10">
        <v>4633.3675838602585</v>
      </c>
      <c r="C34" s="10" t="e">
        <f>Työkaluvälilehti!$B$2*('2 % korko'!A34-'2 % korko'!A33)*Työkaluvälilehti!$B$11</f>
        <v>#REF!</v>
      </c>
      <c r="D34" s="10" t="e">
        <f t="shared" ref="D34:D36" si="14">C34-B34</f>
        <v>#REF!</v>
      </c>
      <c r="E34" s="10">
        <f>B34/(1+$B$1)^$A34</f>
        <v>2997.0430216167806</v>
      </c>
      <c r="F34" s="10" t="e">
        <f t="shared" ref="F34:F36" si="15">C34/(1+$B$1)^$A34</f>
        <v>#REF!</v>
      </c>
      <c r="G34" s="10" t="e">
        <f>F34-E34</f>
        <v>#REF!</v>
      </c>
      <c r="H34" s="10"/>
      <c r="L34" s="10"/>
      <c r="M34" s="10"/>
      <c r="N34" s="10"/>
      <c r="O34" s="10"/>
      <c r="P34" s="10"/>
      <c r="Q34" s="10"/>
      <c r="R34" s="10"/>
    </row>
    <row r="35" spans="1:18" x14ac:dyDescent="0.25">
      <c r="A35" s="6">
        <v>43</v>
      </c>
      <c r="B35" s="10">
        <v>4633.3675838602585</v>
      </c>
      <c r="C35" s="10" t="e">
        <f>Työkaluvälilehti!$B$2*('2 % korko'!A35-'2 % korko'!A34)*Työkaluvälilehti!$B$11</f>
        <v>#REF!</v>
      </c>
      <c r="D35" s="10" t="e">
        <f t="shared" si="14"/>
        <v>#REF!</v>
      </c>
      <c r="E35" s="10">
        <f t="shared" ref="E35:E36" si="16">B35/(1+$B$1)^$A35</f>
        <v>1977.3765074898497</v>
      </c>
      <c r="F35" s="10" t="e">
        <f t="shared" si="15"/>
        <v>#REF!</v>
      </c>
      <c r="G35" s="10" t="e">
        <f t="shared" ref="G35:G36" si="17">F35-E35</f>
        <v>#REF!</v>
      </c>
      <c r="H35" s="10"/>
      <c r="L35" s="10"/>
      <c r="M35" s="10"/>
      <c r="N35" s="10"/>
      <c r="O35" s="10"/>
      <c r="P35" s="10"/>
      <c r="Q35" s="10"/>
      <c r="R35" s="10"/>
    </row>
    <row r="36" spans="1:18" x14ac:dyDescent="0.25">
      <c r="A36" s="6">
        <v>64</v>
      </c>
      <c r="B36" s="10">
        <v>5114.3867476233245</v>
      </c>
      <c r="C36" s="10" t="e">
        <f>Työkaluvälilehti!$B$2*('2 % korko'!A36-'2 % korko'!A35)*Työkaluvälilehti!$B$11</f>
        <v>#REF!</v>
      </c>
      <c r="D36" s="10" t="e">
        <f t="shared" si="14"/>
        <v>#REF!</v>
      </c>
      <c r="E36" s="10">
        <f t="shared" si="16"/>
        <v>1440.0665853173377</v>
      </c>
      <c r="F36" s="10" t="e">
        <f t="shared" si="15"/>
        <v>#REF!</v>
      </c>
      <c r="G36" s="10" t="e">
        <f t="shared" si="17"/>
        <v>#REF!</v>
      </c>
      <c r="H36" s="10"/>
      <c r="L36" s="10"/>
      <c r="M36" s="10"/>
      <c r="N36" s="10"/>
      <c r="O36" s="10"/>
      <c r="P36" s="10"/>
      <c r="Q36" s="10"/>
      <c r="R36" s="10"/>
    </row>
    <row r="37" spans="1:18" x14ac:dyDescent="0.25">
      <c r="A37" s="6">
        <v>86</v>
      </c>
      <c r="B37" s="10">
        <v>4633.3675838602585</v>
      </c>
      <c r="C37" s="10" t="e">
        <f>Työkaluvälilehti!$B$2*('2 % korko'!A37-'2 % korko'!A36)*Työkaluvälilehti!$B$11</f>
        <v>#REF!</v>
      </c>
      <c r="D37" s="10" t="e">
        <f>C37-B37</f>
        <v>#REF!</v>
      </c>
      <c r="E37" s="10">
        <f>B37/(1+$B$1)^$A37</f>
        <v>843.8825069681069</v>
      </c>
      <c r="F37" s="10" t="e">
        <f>C37/(1+$B$1)^$A37</f>
        <v>#REF!</v>
      </c>
      <c r="G37" s="10" t="e">
        <f>F37-E37</f>
        <v>#REF!</v>
      </c>
      <c r="H37" s="10"/>
      <c r="L37" s="10"/>
      <c r="M37" s="10"/>
      <c r="N37" s="10"/>
      <c r="O37" s="10"/>
      <c r="P37" s="10"/>
      <c r="Q37" s="10"/>
      <c r="R37" s="10"/>
    </row>
    <row r="38" spans="1:18" x14ac:dyDescent="0.25">
      <c r="A38" s="6" t="s">
        <v>103</v>
      </c>
      <c r="B38" s="10" t="s">
        <v>107</v>
      </c>
      <c r="C38" s="10" t="s">
        <v>98</v>
      </c>
      <c r="D38" s="10" t="s">
        <v>99</v>
      </c>
      <c r="E38" s="10" t="s">
        <v>100</v>
      </c>
      <c r="F38" s="10" t="s">
        <v>101</v>
      </c>
      <c r="G38" s="10" t="s">
        <v>102</v>
      </c>
      <c r="H38" s="10" t="s">
        <v>83</v>
      </c>
      <c r="L38" s="10"/>
      <c r="M38" s="10"/>
      <c r="N38" s="10"/>
      <c r="O38" s="10"/>
      <c r="P38" s="10"/>
      <c r="Q38" s="10"/>
      <c r="R38" s="10"/>
    </row>
    <row r="39" spans="1:18" x14ac:dyDescent="0.25">
      <c r="B39" s="10">
        <f t="shared" ref="B39:G39" si="18">SUM(B33:B37)</f>
        <v>19384.489499204101</v>
      </c>
      <c r="C39" s="10" t="e">
        <f t="shared" si="18"/>
        <v>#REF!</v>
      </c>
      <c r="D39" s="10" t="e">
        <f t="shared" si="18"/>
        <v>#REF!</v>
      </c>
      <c r="E39" s="10">
        <f t="shared" si="18"/>
        <v>7628.3686213920746</v>
      </c>
      <c r="F39" s="10" t="e">
        <f t="shared" si="18"/>
        <v>#REF!</v>
      </c>
      <c r="G39" s="10" t="e">
        <f t="shared" si="18"/>
        <v>#REF!</v>
      </c>
      <c r="H39" s="10" t="e">
        <f>G33+G34+G35+G36+G37/(1-EXP(-$B$1*A37))</f>
        <v>#REF!</v>
      </c>
      <c r="L39" s="10"/>
      <c r="M39" s="10"/>
      <c r="N39" s="10"/>
      <c r="O39" s="10"/>
      <c r="P39" s="10"/>
      <c r="Q39" s="10"/>
      <c r="R39" s="10"/>
    </row>
    <row r="40" spans="1:18" x14ac:dyDescent="0.25">
      <c r="B40" s="10"/>
      <c r="C40" s="10"/>
      <c r="D40" s="10"/>
      <c r="E40" s="10"/>
      <c r="F40" s="10"/>
      <c r="G40" s="10"/>
      <c r="H40" s="10"/>
      <c r="L40" s="10"/>
      <c r="M40" s="10"/>
      <c r="N40" s="10"/>
      <c r="O40" s="10"/>
      <c r="P40" s="10"/>
      <c r="Q40" s="10"/>
      <c r="R40" s="10"/>
    </row>
    <row r="41" spans="1:18" x14ac:dyDescent="0.25">
      <c r="B41" s="10"/>
      <c r="C41" s="10"/>
      <c r="D41" s="10"/>
      <c r="E41" s="10"/>
      <c r="F41" s="10"/>
      <c r="G41" s="10"/>
      <c r="H41" s="10"/>
      <c r="L41" s="10"/>
      <c r="M41" s="10"/>
      <c r="N41" s="10"/>
      <c r="O41" s="10"/>
      <c r="P41" s="10"/>
      <c r="Q41" s="10"/>
      <c r="R41" s="10"/>
    </row>
    <row r="42" spans="1:18" x14ac:dyDescent="0.25">
      <c r="B42" s="10" t="s">
        <v>104</v>
      </c>
      <c r="C42" s="10">
        <v>2803.0909820774596</v>
      </c>
      <c r="D42" s="10"/>
      <c r="E42" s="10"/>
      <c r="F42" s="10"/>
      <c r="G42" s="10"/>
      <c r="H42" s="10"/>
      <c r="L42" s="10"/>
      <c r="M42" s="10"/>
      <c r="N42" s="10"/>
      <c r="O42" s="10"/>
      <c r="P42" s="10"/>
      <c r="Q42" s="10"/>
      <c r="R42" s="10"/>
    </row>
    <row r="43" spans="1:18" x14ac:dyDescent="0.25">
      <c r="A43" s="1" t="s">
        <v>126</v>
      </c>
      <c r="B43" s="10"/>
      <c r="C43" s="10"/>
      <c r="D43" s="10"/>
      <c r="E43" s="10"/>
      <c r="F43" s="10"/>
      <c r="G43" s="10"/>
      <c r="H43" s="10"/>
      <c r="L43" s="10"/>
      <c r="M43" s="10"/>
      <c r="N43" s="10"/>
      <c r="O43" s="10"/>
      <c r="P43" s="10"/>
      <c r="Q43" s="10"/>
      <c r="R43" s="10"/>
    </row>
    <row r="44" spans="1:18" x14ac:dyDescent="0.25">
      <c r="A44" s="6" t="s">
        <v>78</v>
      </c>
      <c r="B44" s="10" t="s">
        <v>107</v>
      </c>
      <c r="C44" s="10" t="s">
        <v>98</v>
      </c>
      <c r="D44" s="10" t="s">
        <v>99</v>
      </c>
      <c r="E44" s="10" t="s">
        <v>100</v>
      </c>
      <c r="F44" s="10" t="s">
        <v>101</v>
      </c>
      <c r="G44" s="10" t="s">
        <v>102</v>
      </c>
      <c r="H44" s="10"/>
      <c r="L44" s="10"/>
      <c r="M44" s="10"/>
      <c r="N44" s="10"/>
      <c r="O44" s="10"/>
      <c r="P44" s="10"/>
      <c r="Q44" s="10"/>
      <c r="R44" s="10"/>
    </row>
    <row r="45" spans="1:18" x14ac:dyDescent="0.25">
      <c r="A45" s="6">
        <v>0</v>
      </c>
      <c r="B45" s="10">
        <v>1241.0517070707067</v>
      </c>
      <c r="C45" s="10">
        <v>0</v>
      </c>
      <c r="D45" s="10">
        <f>C45-B45</f>
        <v>-1241.0517070707067</v>
      </c>
      <c r="E45" s="10">
        <f>B45/(1+$B$1)^$A45</f>
        <v>1241.0517070707067</v>
      </c>
      <c r="F45" s="10">
        <f>C45/(1+$B$1)^$A45</f>
        <v>0</v>
      </c>
      <c r="G45" s="10">
        <f>F45-E45</f>
        <v>-1241.0517070707067</v>
      </c>
      <c r="H45" s="10"/>
      <c r="L45" s="10"/>
      <c r="M45" s="10"/>
      <c r="N45" s="10"/>
      <c r="O45" s="10"/>
      <c r="P45" s="10"/>
      <c r="Q45" s="10"/>
      <c r="R45" s="10"/>
    </row>
    <row r="46" spans="1:18" x14ac:dyDescent="0.25">
      <c r="A46" s="6">
        <v>1</v>
      </c>
      <c r="B46" s="10">
        <v>88.968222222222209</v>
      </c>
      <c r="C46" s="10">
        <v>0</v>
      </c>
      <c r="D46" s="10">
        <f t="shared" ref="D46:D48" si="19">C46-B46</f>
        <v>-88.968222222222209</v>
      </c>
      <c r="E46" s="10">
        <f>B46/(1+$B$1)^$A46</f>
        <v>87.223747276688442</v>
      </c>
      <c r="F46" s="10">
        <f t="shared" ref="F46:F48" si="20">C46/(1+$B$1)^$A46</f>
        <v>0</v>
      </c>
      <c r="G46" s="10">
        <f>F46-E46</f>
        <v>-87.223747276688442</v>
      </c>
      <c r="H46" s="10"/>
      <c r="L46" s="10"/>
      <c r="M46" s="10"/>
      <c r="N46" s="10"/>
      <c r="O46" s="10"/>
      <c r="P46" s="10"/>
      <c r="Q46" s="10"/>
      <c r="R46" s="10"/>
    </row>
    <row r="47" spans="1:18" x14ac:dyDescent="0.25">
      <c r="A47" s="6">
        <v>2</v>
      </c>
      <c r="B47" s="10">
        <v>742.82444444444434</v>
      </c>
      <c r="C47" s="10">
        <f>Työkaluvälilehti!$B$12*(A47-A46)*Työkaluvälilehti!$B$7</f>
        <v>1236</v>
      </c>
      <c r="D47" s="10">
        <f t="shared" si="19"/>
        <v>493.17555555555566</v>
      </c>
      <c r="E47" s="10">
        <f t="shared" ref="E47:F54" si="21">B47/(1+$B$1)^$A47</f>
        <v>713.9796659404501</v>
      </c>
      <c r="F47" s="10">
        <f t="shared" si="20"/>
        <v>1188.00461361015</v>
      </c>
      <c r="G47" s="10">
        <f t="shared" ref="G47:G48" si="22">F47-E47</f>
        <v>474.02494766969994</v>
      </c>
      <c r="H47" s="10"/>
      <c r="L47" s="10"/>
      <c r="M47" s="10"/>
      <c r="N47" s="10"/>
      <c r="O47" s="10"/>
      <c r="P47" s="10"/>
      <c r="Q47" s="10"/>
      <c r="R47" s="10"/>
    </row>
    <row r="48" spans="1:18" x14ac:dyDescent="0.25">
      <c r="A48" s="6">
        <v>3</v>
      </c>
      <c r="B48" s="10">
        <v>742.82444444444434</v>
      </c>
      <c r="C48" s="10">
        <f>Työkaluvälilehti!$B$12*(A48-A47)*Työkaluvälilehti!$B$7</f>
        <v>1236</v>
      </c>
      <c r="D48" s="10">
        <f t="shared" si="19"/>
        <v>493.17555555555566</v>
      </c>
      <c r="E48" s="10">
        <f t="shared" si="21"/>
        <v>699.98006464750017</v>
      </c>
      <c r="F48" s="10">
        <f t="shared" si="20"/>
        <v>1164.7104055001471</v>
      </c>
      <c r="G48" s="10">
        <f t="shared" si="22"/>
        <v>464.73034085264692</v>
      </c>
      <c r="H48" s="10"/>
      <c r="L48" s="10"/>
      <c r="M48" s="10"/>
      <c r="N48" s="10"/>
      <c r="O48" s="10"/>
      <c r="P48" s="10"/>
      <c r="Q48" s="10"/>
      <c r="R48" s="10"/>
    </row>
    <row r="49" spans="1:18" x14ac:dyDescent="0.25">
      <c r="A49" s="6">
        <v>4</v>
      </c>
      <c r="B49" s="10">
        <v>742.82444444444434</v>
      </c>
      <c r="C49" s="10">
        <f>Työkaluvälilehti!$B$12*(A49-A48)*Työkaluvälilehti!$B$7</f>
        <v>1236</v>
      </c>
      <c r="D49" s="10">
        <f>C49-B49</f>
        <v>493.17555555555566</v>
      </c>
      <c r="E49" s="10">
        <f t="shared" si="21"/>
        <v>686.25496534068645</v>
      </c>
      <c r="F49" s="10">
        <f t="shared" si="21"/>
        <v>1141.8729465687716</v>
      </c>
      <c r="G49" s="10">
        <f>F49-E49</f>
        <v>455.61798122808511</v>
      </c>
      <c r="H49" s="10"/>
      <c r="L49" s="10"/>
      <c r="M49" s="10"/>
      <c r="N49" s="10"/>
      <c r="O49" s="10"/>
      <c r="P49" s="10"/>
      <c r="Q49" s="10"/>
      <c r="R49" s="10"/>
    </row>
    <row r="50" spans="1:18" x14ac:dyDescent="0.25">
      <c r="A50" s="6">
        <v>5</v>
      </c>
      <c r="B50" s="10">
        <v>742.82444444444434</v>
      </c>
      <c r="C50" s="10">
        <f>Työkaluvälilehti!$B$12*(A50-A49)*Työkaluvälilehti!$B$7</f>
        <v>1236</v>
      </c>
      <c r="D50" s="10">
        <f>C50-B50</f>
        <v>493.17555555555566</v>
      </c>
      <c r="E50" s="10">
        <f t="shared" si="21"/>
        <v>672.79898562812389</v>
      </c>
      <c r="F50" s="10">
        <f t="shared" si="21"/>
        <v>1119.4832809497761</v>
      </c>
      <c r="G50" s="10">
        <f>F50-E50</f>
        <v>446.68429532165226</v>
      </c>
      <c r="H50" s="10"/>
      <c r="L50" s="10"/>
      <c r="M50" s="10"/>
      <c r="N50" s="10"/>
      <c r="O50" s="10"/>
      <c r="P50" s="10"/>
      <c r="Q50" s="10"/>
      <c r="R50" s="10"/>
    </row>
    <row r="51" spans="1:18" x14ac:dyDescent="0.25">
      <c r="A51" s="6">
        <v>6</v>
      </c>
      <c r="B51" s="10">
        <v>742.82444444444434</v>
      </c>
      <c r="C51" s="10">
        <f>Työkaluvälilehti!$B$12*(A51-A50)*Työkaluvälilehti!$B$7</f>
        <v>1236</v>
      </c>
      <c r="D51" s="10">
        <f>C51-B51</f>
        <v>493.17555555555566</v>
      </c>
      <c r="E51" s="10">
        <f t="shared" si="21"/>
        <v>659.60684865502344</v>
      </c>
      <c r="F51" s="10">
        <f t="shared" si="21"/>
        <v>1097.5326283821332</v>
      </c>
      <c r="G51" s="10">
        <f>F51-E51</f>
        <v>437.92577972710978</v>
      </c>
      <c r="H51" s="10"/>
      <c r="L51" s="10"/>
      <c r="M51" s="10"/>
      <c r="N51" s="10"/>
      <c r="O51" s="10"/>
      <c r="P51" s="10"/>
      <c r="Q51" s="10"/>
      <c r="R51" s="10"/>
    </row>
    <row r="52" spans="1:18" x14ac:dyDescent="0.25">
      <c r="A52" s="6">
        <v>7</v>
      </c>
      <c r="B52" s="10">
        <v>742.82444444444434</v>
      </c>
      <c r="C52" s="10">
        <f>Työkaluvälilehti!$B$12*(A52-A51)*Työkaluvälilehti!$B$7</f>
        <v>1236</v>
      </c>
      <c r="D52" s="10">
        <f t="shared" ref="D52:D53" si="23">C52-B52</f>
        <v>493.17555555555566</v>
      </c>
      <c r="E52" s="10">
        <f>B52/(1+$B$1)^$A52</f>
        <v>646.67338103433678</v>
      </c>
      <c r="F52" s="10">
        <f t="shared" si="21"/>
        <v>1076.0123807667976</v>
      </c>
      <c r="G52" s="10">
        <f>F52-E52</f>
        <v>429.33899973246082</v>
      </c>
      <c r="H52" s="10"/>
      <c r="L52" s="10"/>
      <c r="M52" s="10"/>
      <c r="N52" s="10"/>
      <c r="O52" s="10"/>
      <c r="P52" s="10"/>
      <c r="Q52" s="10"/>
      <c r="R52" s="10"/>
    </row>
    <row r="53" spans="1:18" x14ac:dyDescent="0.25">
      <c r="A53" s="6">
        <v>8</v>
      </c>
      <c r="B53" s="10">
        <v>742.82444444444434</v>
      </c>
      <c r="C53" s="10">
        <f>Työkaluvälilehti!$B$12*(A53-A52)*Työkaluvälilehti!$B$7</f>
        <v>1236</v>
      </c>
      <c r="D53" s="10">
        <f t="shared" si="23"/>
        <v>493.17555555555566</v>
      </c>
      <c r="E53" s="10">
        <f t="shared" ref="E53" si="24">B53/(1+$B$1)^$A53</f>
        <v>633.99351081797727</v>
      </c>
      <c r="F53" s="10">
        <f t="shared" si="21"/>
        <v>1054.914098790978</v>
      </c>
      <c r="G53" s="10">
        <f t="shared" ref="G53:G54" si="25">F53-E53</f>
        <v>420.92058797300069</v>
      </c>
      <c r="H53" s="10"/>
      <c r="L53" s="10"/>
      <c r="M53" s="10"/>
      <c r="N53" s="10"/>
      <c r="O53" s="10"/>
      <c r="P53" s="10"/>
      <c r="Q53" s="10"/>
      <c r="R53" s="10"/>
    </row>
    <row r="54" spans="1:18" x14ac:dyDescent="0.25">
      <c r="A54" s="6">
        <v>9</v>
      </c>
      <c r="B54" s="10">
        <v>742.82444444444434</v>
      </c>
      <c r="C54" s="10">
        <f>Työkaluvälilehti!$B$12*(A54-A53)*Työkaluvälilehti!$B$7</f>
        <v>1236</v>
      </c>
      <c r="D54" s="10">
        <f>C54-B54</f>
        <v>493.17555555555566</v>
      </c>
      <c r="E54" s="10">
        <f>B54/(1+$B$1)^$A54</f>
        <v>621.56226550782083</v>
      </c>
      <c r="F54" s="10">
        <f t="shared" si="21"/>
        <v>1034.2295086186059</v>
      </c>
      <c r="G54" s="10">
        <f t="shared" si="25"/>
        <v>412.66724311078508</v>
      </c>
      <c r="H54" s="10"/>
      <c r="L54" s="10"/>
      <c r="M54" s="10"/>
      <c r="N54" s="10"/>
      <c r="O54" s="10"/>
      <c r="P54" s="10"/>
      <c r="Q54" s="10"/>
      <c r="R54" s="10"/>
    </row>
    <row r="55" spans="1:18" x14ac:dyDescent="0.25">
      <c r="A55" s="6">
        <v>10</v>
      </c>
      <c r="B55" s="10">
        <v>773.1708010335916</v>
      </c>
      <c r="C55" s="10">
        <f>Työkaluvälilehti!$B$12*(A55-A54)*Työkaluvälilehti!$B$7</f>
        <v>1236</v>
      </c>
      <c r="D55" s="10">
        <f>C55-B55</f>
        <v>462.8291989664084</v>
      </c>
      <c r="E55" s="10">
        <f>B55/(1+$B$1)^$A55</f>
        <v>634.26935214101889</v>
      </c>
      <c r="F55" s="10">
        <f>C55/(1+$B$1)^$A55</f>
        <v>1013.9504986456919</v>
      </c>
      <c r="G55" s="10">
        <f>F55-E55</f>
        <v>379.68114650467305</v>
      </c>
      <c r="H55" s="10"/>
      <c r="L55" s="10"/>
      <c r="M55" s="10"/>
      <c r="N55" s="10"/>
      <c r="O55" s="10"/>
      <c r="P55" s="10"/>
      <c r="Q55" s="10"/>
      <c r="R55" s="10"/>
    </row>
    <row r="56" spans="1:18" x14ac:dyDescent="0.25">
      <c r="A56" s="6" t="s">
        <v>103</v>
      </c>
      <c r="B56" s="10" t="s">
        <v>107</v>
      </c>
      <c r="C56" s="10" t="s">
        <v>98</v>
      </c>
      <c r="D56" s="10" t="s">
        <v>99</v>
      </c>
      <c r="E56" s="10" t="s">
        <v>100</v>
      </c>
      <c r="F56" s="10" t="s">
        <v>101</v>
      </c>
      <c r="G56" s="10" t="s">
        <v>102</v>
      </c>
      <c r="H56" s="10" t="s">
        <v>83</v>
      </c>
      <c r="L56" s="10"/>
      <c r="M56" s="10"/>
      <c r="N56" s="10"/>
      <c r="O56" s="10"/>
      <c r="P56" s="10"/>
      <c r="Q56" s="10"/>
      <c r="R56" s="10"/>
    </row>
    <row r="57" spans="1:18" x14ac:dyDescent="0.25">
      <c r="B57" s="10">
        <f>SUM(B45:B55)</f>
        <v>8045.7862858820754</v>
      </c>
      <c r="C57" s="10">
        <f t="shared" ref="C57" si="26">SUM(C45:C55)</f>
        <v>11124</v>
      </c>
      <c r="D57" s="10">
        <f>SUM(D45:D55)</f>
        <v>3078.2137141179246</v>
      </c>
      <c r="E57" s="10">
        <f>SUM(E45:E55)</f>
        <v>7297.3944940603333</v>
      </c>
      <c r="F57" s="10">
        <f>SUM(F45:F55)</f>
        <v>9890.7103618330511</v>
      </c>
      <c r="G57" s="10">
        <f>SUM(G45:G55)</f>
        <v>2593.3158677727183</v>
      </c>
      <c r="H57" s="10">
        <f>G57/(1-(1/(1+$B$1))^(A55))</f>
        <v>14435.24256085832</v>
      </c>
      <c r="L57" s="10"/>
      <c r="M57" s="10"/>
      <c r="N57" s="10"/>
      <c r="O57" s="10"/>
      <c r="P57" s="10"/>
      <c r="Q57" s="10"/>
      <c r="R57" s="10"/>
    </row>
    <row r="58" spans="1:18" x14ac:dyDescent="0.25">
      <c r="B58" s="10" t="s">
        <v>104</v>
      </c>
      <c r="C58" s="10">
        <v>1641.4215478428662</v>
      </c>
      <c r="D58" s="10"/>
      <c r="E58" s="10"/>
      <c r="F58" s="10"/>
      <c r="G58" s="10"/>
      <c r="H58" s="10"/>
      <c r="L58" s="10"/>
      <c r="M58" s="10"/>
      <c r="N58" s="10"/>
      <c r="O58" s="10"/>
      <c r="P58" s="10"/>
      <c r="Q58" s="10"/>
      <c r="R58" s="10"/>
    </row>
    <row r="59" spans="1:18" x14ac:dyDescent="0.25">
      <c r="A59" s="1" t="s">
        <v>127</v>
      </c>
      <c r="B59" s="10"/>
      <c r="C59" s="10"/>
      <c r="D59" s="10"/>
      <c r="E59" s="10"/>
      <c r="F59" s="10"/>
      <c r="G59" s="10"/>
      <c r="H59" s="10"/>
      <c r="L59" s="10"/>
      <c r="M59" s="10"/>
      <c r="N59" s="10"/>
      <c r="O59" s="10"/>
      <c r="P59" s="10"/>
      <c r="Q59" s="10"/>
      <c r="R59" s="10"/>
    </row>
    <row r="60" spans="1:18" x14ac:dyDescent="0.25">
      <c r="A60" s="6" t="s">
        <v>78</v>
      </c>
      <c r="B60" s="10" t="s">
        <v>107</v>
      </c>
      <c r="C60" s="10" t="s">
        <v>98</v>
      </c>
      <c r="D60" s="10" t="s">
        <v>99</v>
      </c>
      <c r="E60" s="10" t="s">
        <v>100</v>
      </c>
      <c r="F60" s="10" t="s">
        <v>101</v>
      </c>
      <c r="G60" s="10" t="s">
        <v>102</v>
      </c>
      <c r="H60" s="10"/>
      <c r="L60" s="10"/>
      <c r="M60" s="10"/>
      <c r="N60" s="10"/>
      <c r="O60" s="10"/>
      <c r="P60" s="10"/>
      <c r="Q60" s="10"/>
      <c r="R60" s="10"/>
    </row>
    <row r="61" spans="1:18" x14ac:dyDescent="0.25">
      <c r="A61" s="6">
        <v>0</v>
      </c>
      <c r="B61" s="10">
        <v>1757.8130404040403</v>
      </c>
      <c r="C61" s="10">
        <v>0</v>
      </c>
      <c r="D61" s="10">
        <f>C61-B61</f>
        <v>-1757.8130404040403</v>
      </c>
      <c r="E61" s="10">
        <f>B61/(1+$B$1)^$A61</f>
        <v>1757.8130404040403</v>
      </c>
      <c r="F61" s="10">
        <f>C61/(1+$B$1)^$A61</f>
        <v>0</v>
      </c>
      <c r="G61" s="10">
        <f>F61-E61</f>
        <v>-1757.8130404040403</v>
      </c>
      <c r="H61" s="10"/>
      <c r="L61" s="10"/>
      <c r="M61" s="10"/>
      <c r="N61" s="10"/>
      <c r="O61" s="10"/>
      <c r="P61" s="10"/>
      <c r="Q61" s="10"/>
      <c r="R61" s="10"/>
    </row>
    <row r="62" spans="1:18" x14ac:dyDescent="0.25">
      <c r="A62" s="6">
        <v>1</v>
      </c>
      <c r="B62" s="10">
        <v>88.968222222222209</v>
      </c>
      <c r="C62" s="10">
        <v>0</v>
      </c>
      <c r="D62" s="10">
        <f>C62-B62</f>
        <v>-88.968222222222209</v>
      </c>
      <c r="E62" s="10">
        <f>B62/(1+$B$1)^$A62</f>
        <v>87.223747276688442</v>
      </c>
      <c r="F62" s="10">
        <f t="shared" ref="F62:F64" si="27">C62/(1+$B$1)^$A62</f>
        <v>0</v>
      </c>
      <c r="G62" s="10">
        <f>F62-E62</f>
        <v>-87.223747276688442</v>
      </c>
      <c r="H62" s="10"/>
      <c r="L62" s="10"/>
      <c r="M62" s="10"/>
      <c r="N62" s="10"/>
      <c r="O62" s="10"/>
      <c r="P62" s="10"/>
      <c r="Q62" s="10"/>
      <c r="R62" s="10"/>
    </row>
    <row r="63" spans="1:18" x14ac:dyDescent="0.25">
      <c r="A63" s="6">
        <v>2</v>
      </c>
      <c r="B63" s="10">
        <v>742.82444444444434</v>
      </c>
      <c r="C63" s="10">
        <f>Työkaluvälilehti!$B$12*(A63-A62)*Työkaluvälilehti!$B$7</f>
        <v>1236</v>
      </c>
      <c r="D63" s="10">
        <f t="shared" ref="D63:D64" si="28">C63-B63</f>
        <v>493.17555555555566</v>
      </c>
      <c r="E63" s="10">
        <f t="shared" ref="E63:F70" si="29">B63/(1+$B$1)^$A63</f>
        <v>713.9796659404501</v>
      </c>
      <c r="F63" s="10">
        <f t="shared" si="27"/>
        <v>1188.00461361015</v>
      </c>
      <c r="G63" s="10">
        <f t="shared" ref="G63:G64" si="30">F63-E63</f>
        <v>474.02494766969994</v>
      </c>
      <c r="H63" s="10"/>
      <c r="L63" s="10"/>
      <c r="M63" s="10"/>
      <c r="N63" s="10"/>
      <c r="O63" s="10"/>
      <c r="P63" s="10"/>
      <c r="Q63" s="10"/>
      <c r="R63" s="10"/>
    </row>
    <row r="64" spans="1:18" x14ac:dyDescent="0.25">
      <c r="A64" s="6">
        <v>3</v>
      </c>
      <c r="B64" s="10">
        <v>742.82444444444434</v>
      </c>
      <c r="C64" s="10">
        <f>Työkaluvälilehti!$B$12*(A64-A63)*Työkaluvälilehti!$B$7</f>
        <v>1236</v>
      </c>
      <c r="D64" s="10">
        <f t="shared" si="28"/>
        <v>493.17555555555566</v>
      </c>
      <c r="E64" s="10">
        <f t="shared" si="29"/>
        <v>699.98006464750017</v>
      </c>
      <c r="F64" s="10">
        <f t="shared" si="27"/>
        <v>1164.7104055001471</v>
      </c>
      <c r="G64" s="10">
        <f t="shared" si="30"/>
        <v>464.73034085264692</v>
      </c>
      <c r="H64" s="10"/>
      <c r="L64" s="10"/>
      <c r="M64" s="10"/>
      <c r="N64" s="10"/>
      <c r="O64" s="10"/>
      <c r="P64" s="10"/>
      <c r="Q64" s="10"/>
      <c r="R64" s="10"/>
    </row>
    <row r="65" spans="1:18" x14ac:dyDescent="0.25">
      <c r="A65" s="6">
        <v>4</v>
      </c>
      <c r="B65" s="10">
        <v>742.82444444444434</v>
      </c>
      <c r="C65" s="10">
        <f>Työkaluvälilehti!$B$12*(A65-A64)*Työkaluvälilehti!$B$7</f>
        <v>1236</v>
      </c>
      <c r="D65" s="10">
        <f>C65-B65</f>
        <v>493.17555555555566</v>
      </c>
      <c r="E65" s="10">
        <f t="shared" si="29"/>
        <v>686.25496534068645</v>
      </c>
      <c r="F65" s="10">
        <f t="shared" si="29"/>
        <v>1141.8729465687716</v>
      </c>
      <c r="G65" s="10">
        <f>F65-E65</f>
        <v>455.61798122808511</v>
      </c>
      <c r="H65" s="10"/>
      <c r="L65" s="10"/>
      <c r="M65" s="10"/>
      <c r="N65" s="10"/>
      <c r="O65" s="10"/>
      <c r="P65" s="10"/>
      <c r="Q65" s="10"/>
      <c r="R65" s="10"/>
    </row>
    <row r="66" spans="1:18" x14ac:dyDescent="0.25">
      <c r="A66" s="6">
        <v>5</v>
      </c>
      <c r="B66" s="10">
        <v>1839.2540869156685</v>
      </c>
      <c r="C66" s="10">
        <f>Työkaluvälilehti!$B$12*(A66-A65)*Työkaluvälilehti!$B$7</f>
        <v>1236</v>
      </c>
      <c r="D66" s="10">
        <f>C66-B66</f>
        <v>-603.25408691566849</v>
      </c>
      <c r="E66" s="10">
        <f t="shared" si="29"/>
        <v>1665.869093625111</v>
      </c>
      <c r="F66" s="10">
        <f t="shared" si="29"/>
        <v>1119.4832809497761</v>
      </c>
      <c r="G66" s="10">
        <f>F66-E66</f>
        <v>-546.38581267533482</v>
      </c>
      <c r="H66" s="10"/>
      <c r="L66" s="10"/>
      <c r="M66" s="10"/>
      <c r="N66" s="10"/>
      <c r="O66" s="10"/>
      <c r="P66" s="10"/>
      <c r="Q66" s="10"/>
      <c r="R66" s="10"/>
    </row>
    <row r="67" spans="1:18" x14ac:dyDescent="0.25">
      <c r="A67" s="6">
        <v>6</v>
      </c>
      <c r="B67" s="10">
        <v>231.00444444444449</v>
      </c>
      <c r="C67" s="10">
        <v>0</v>
      </c>
      <c r="D67" s="10">
        <f>C67-B67</f>
        <v>-231.00444444444449</v>
      </c>
      <c r="E67" s="10">
        <f t="shared" si="29"/>
        <v>205.12533582448677</v>
      </c>
      <c r="F67" s="10">
        <f t="shared" si="29"/>
        <v>0</v>
      </c>
      <c r="G67" s="10">
        <f>F67-E67</f>
        <v>-205.12533582448677</v>
      </c>
      <c r="H67" s="10"/>
      <c r="L67" s="10"/>
      <c r="M67" s="10"/>
      <c r="N67" s="10"/>
      <c r="O67" s="10"/>
      <c r="P67" s="10"/>
      <c r="Q67" s="10"/>
      <c r="R67" s="10"/>
    </row>
    <row r="68" spans="1:18" x14ac:dyDescent="0.25">
      <c r="A68" s="6">
        <v>7</v>
      </c>
      <c r="B68" s="10">
        <v>742.82444444444434</v>
      </c>
      <c r="C68" s="10">
        <f>Työkaluvälilehti!$B$12*(A68-A67)*Työkaluvälilehti!$B$7</f>
        <v>1236</v>
      </c>
      <c r="D68" s="10">
        <f t="shared" ref="D68:D69" si="31">C68-B68</f>
        <v>493.17555555555566</v>
      </c>
      <c r="E68" s="10">
        <f>B68/(1+$B$1)^$A68</f>
        <v>646.67338103433678</v>
      </c>
      <c r="F68" s="10">
        <f t="shared" si="29"/>
        <v>1076.0123807667976</v>
      </c>
      <c r="G68" s="10">
        <f>F68-E68</f>
        <v>429.33899973246082</v>
      </c>
      <c r="H68" s="10"/>
      <c r="L68" s="10"/>
      <c r="M68" s="10"/>
      <c r="N68" s="10"/>
      <c r="O68" s="10"/>
      <c r="P68" s="10"/>
      <c r="Q68" s="10"/>
      <c r="R68" s="10"/>
    </row>
    <row r="69" spans="1:18" x14ac:dyDescent="0.25">
      <c r="A69" s="6">
        <v>8</v>
      </c>
      <c r="B69" s="10">
        <v>742.82444444444434</v>
      </c>
      <c r="C69" s="10">
        <f>Työkaluvälilehti!$B$12*(A69-A68)*Työkaluvälilehti!$B$7</f>
        <v>1236</v>
      </c>
      <c r="D69" s="10">
        <f t="shared" si="31"/>
        <v>493.17555555555566</v>
      </c>
      <c r="E69" s="10">
        <f t="shared" ref="E69" si="32">B69/(1+$B$1)^$A69</f>
        <v>633.99351081797727</v>
      </c>
      <c r="F69" s="10">
        <f t="shared" si="29"/>
        <v>1054.914098790978</v>
      </c>
      <c r="G69" s="10">
        <f t="shared" ref="G69:G70" si="33">F69-E69</f>
        <v>420.92058797300069</v>
      </c>
      <c r="H69" s="10"/>
      <c r="L69" s="10"/>
      <c r="M69" s="10"/>
      <c r="N69" s="10"/>
      <c r="O69" s="10"/>
      <c r="P69" s="10"/>
      <c r="Q69" s="10"/>
      <c r="R69" s="10"/>
    </row>
    <row r="70" spans="1:18" x14ac:dyDescent="0.25">
      <c r="A70" s="6">
        <v>9</v>
      </c>
      <c r="B70" s="10">
        <v>742.82444444444434</v>
      </c>
      <c r="C70" s="10">
        <f>Työkaluvälilehti!$B$12*(A70-A69)*Työkaluvälilehti!$B$7</f>
        <v>1236</v>
      </c>
      <c r="D70" s="10">
        <f>C70-B70</f>
        <v>493.17555555555566</v>
      </c>
      <c r="E70" s="10">
        <f>B70/(1+$B$1)^$A70</f>
        <v>621.56226550782083</v>
      </c>
      <c r="F70" s="10">
        <f t="shared" si="29"/>
        <v>1034.2295086186059</v>
      </c>
      <c r="G70" s="10">
        <f t="shared" si="33"/>
        <v>412.66724311078508</v>
      </c>
      <c r="H70" s="10"/>
      <c r="L70" s="10"/>
      <c r="M70" s="10"/>
      <c r="N70" s="10"/>
      <c r="O70" s="10"/>
      <c r="P70" s="10"/>
      <c r="Q70" s="10"/>
      <c r="R70" s="10"/>
    </row>
    <row r="71" spans="1:18" x14ac:dyDescent="0.25">
      <c r="A71" s="6">
        <v>10</v>
      </c>
      <c r="B71" s="10">
        <v>580.61937984496126</v>
      </c>
      <c r="C71" s="10">
        <f>Työkaluvälilehti!$B$12*(A71-A70)*Työkaluvälilehti!$B$7</f>
        <v>1236</v>
      </c>
      <c r="D71" s="10">
        <f>C71-B71</f>
        <v>655.38062015503874</v>
      </c>
      <c r="E71" s="10">
        <f>B71/(1+$B$1)^$A71</f>
        <v>476.31012113038099</v>
      </c>
      <c r="F71" s="10">
        <f>C71/(1+$B$1)^$A71</f>
        <v>1013.9504986456919</v>
      </c>
      <c r="G71" s="10">
        <f>F71-E71</f>
        <v>537.640377515311</v>
      </c>
      <c r="H71" s="10"/>
      <c r="L71" s="10"/>
      <c r="M71" s="10"/>
      <c r="N71" s="10"/>
      <c r="O71" s="10"/>
      <c r="P71" s="10"/>
      <c r="Q71" s="10"/>
      <c r="R71" s="10"/>
    </row>
    <row r="72" spans="1:18" x14ac:dyDescent="0.25">
      <c r="A72" s="6" t="s">
        <v>103</v>
      </c>
      <c r="B72" s="10" t="s">
        <v>107</v>
      </c>
      <c r="C72" s="10" t="s">
        <v>98</v>
      </c>
      <c r="D72" s="10" t="s">
        <v>99</v>
      </c>
      <c r="E72" s="10" t="s">
        <v>100</v>
      </c>
      <c r="F72" s="10" t="s">
        <v>101</v>
      </c>
      <c r="G72" s="10" t="s">
        <v>102</v>
      </c>
      <c r="H72" s="10" t="s">
        <v>83</v>
      </c>
      <c r="L72" s="10"/>
      <c r="M72" s="10"/>
      <c r="N72" s="10"/>
      <c r="O72" s="10"/>
      <c r="P72" s="10"/>
      <c r="Q72" s="10"/>
      <c r="R72" s="10"/>
    </row>
    <row r="73" spans="1:18" x14ac:dyDescent="0.25">
      <c r="B73" s="10">
        <f>SUM(B61:B71)</f>
        <v>8954.6058404980031</v>
      </c>
      <c r="C73" s="10">
        <f t="shared" ref="C73:G73" si="34">SUM(C61:C71)</f>
        <v>9888</v>
      </c>
      <c r="D73" s="10">
        <f t="shared" si="34"/>
        <v>933.39415950199702</v>
      </c>
      <c r="E73" s="10">
        <f t="shared" si="34"/>
        <v>8194.7851915494775</v>
      </c>
      <c r="F73" s="10">
        <f t="shared" si="34"/>
        <v>8793.1777334509188</v>
      </c>
      <c r="G73" s="10">
        <f t="shared" si="34"/>
        <v>598.39254190143924</v>
      </c>
      <c r="H73" s="10">
        <f>G73/(1-(1/(1+$B$1))^(A71))</f>
        <v>3330.8481995194006</v>
      </c>
      <c r="L73" s="10"/>
      <c r="M73" s="10"/>
      <c r="N73" s="10"/>
      <c r="O73" s="10"/>
      <c r="P73" s="10"/>
      <c r="Q73" s="10"/>
      <c r="R73" s="10"/>
    </row>
    <row r="74" spans="1:18" x14ac:dyDescent="0.25">
      <c r="B74" s="10" t="s">
        <v>104</v>
      </c>
      <c r="C74" s="10">
        <v>1639.3209567206075</v>
      </c>
      <c r="D74" s="10"/>
      <c r="E74" s="10"/>
      <c r="F74" s="10"/>
      <c r="G74" s="10"/>
      <c r="H74" s="10"/>
      <c r="L74" s="10"/>
      <c r="M74" s="10"/>
      <c r="N74" s="10"/>
      <c r="O74" s="10"/>
      <c r="P74" s="10"/>
      <c r="Q74" s="10"/>
      <c r="R74" s="10"/>
    </row>
    <row r="75" spans="1:18" x14ac:dyDescent="0.25">
      <c r="A75" s="6" t="s">
        <v>72</v>
      </c>
      <c r="B75" s="10"/>
      <c r="C75" s="10"/>
      <c r="D75" s="10"/>
      <c r="E75" s="10"/>
      <c r="F75" s="10"/>
      <c r="G75" s="10"/>
      <c r="H75" s="10"/>
      <c r="L75" s="10"/>
      <c r="M75" s="10"/>
      <c r="N75" s="10"/>
      <c r="O75" s="10"/>
      <c r="P75" s="10"/>
      <c r="Q75" s="10"/>
      <c r="R75" s="10"/>
    </row>
    <row r="76" spans="1:18" x14ac:dyDescent="0.25">
      <c r="A76" s="6" t="s">
        <v>78</v>
      </c>
      <c r="B76" s="10" t="s">
        <v>107</v>
      </c>
      <c r="C76" s="10" t="s">
        <v>98</v>
      </c>
      <c r="D76" s="10" t="s">
        <v>99</v>
      </c>
      <c r="E76" s="10" t="s">
        <v>100</v>
      </c>
      <c r="F76" s="10" t="s">
        <v>101</v>
      </c>
      <c r="G76" s="10" t="s">
        <v>102</v>
      </c>
      <c r="H76" s="10"/>
      <c r="L76" s="10"/>
      <c r="M76" s="10"/>
      <c r="N76" s="10"/>
      <c r="O76" s="10"/>
      <c r="P76" s="10"/>
      <c r="Q76" s="10"/>
      <c r="R76" s="10"/>
    </row>
    <row r="77" spans="1:18" x14ac:dyDescent="0.25">
      <c r="A77" s="6">
        <v>0</v>
      </c>
      <c r="B77" s="10">
        <v>1241.0517070707067</v>
      </c>
      <c r="C77" s="10">
        <v>0</v>
      </c>
      <c r="D77" s="10">
        <f>C77-B77</f>
        <v>-1241.0517070707067</v>
      </c>
      <c r="E77" s="10">
        <f>B77/(1+$B$1)^$A77</f>
        <v>1241.0517070707067</v>
      </c>
      <c r="F77" s="10">
        <f>C77/(1+$B$1)^$A77</f>
        <v>0</v>
      </c>
      <c r="G77" s="10">
        <f>F77-E77</f>
        <v>-1241.0517070707067</v>
      </c>
      <c r="H77" s="10"/>
      <c r="L77" s="10"/>
      <c r="M77" s="10"/>
      <c r="N77" s="10"/>
      <c r="O77" s="10"/>
      <c r="P77" s="10"/>
      <c r="Q77" s="10"/>
      <c r="R77" s="10"/>
    </row>
    <row r="78" spans="1:18" x14ac:dyDescent="0.25">
      <c r="A78" s="6">
        <v>1</v>
      </c>
      <c r="B78" s="10">
        <v>655.17603864734315</v>
      </c>
      <c r="C78" s="10">
        <f>Työkaluvälilehti!$B$12*(A79-A78)*Työkaluvälilehti!$B$3</f>
        <v>960</v>
      </c>
      <c r="D78" s="10">
        <f>C78-B78</f>
        <v>304.82396135265685</v>
      </c>
      <c r="E78" s="10">
        <f>B78/(1+$B$1)^$A78</f>
        <v>642.32944965425793</v>
      </c>
      <c r="F78" s="10">
        <f t="shared" ref="F78:F80" si="35">C78/(1+$B$1)^$A78</f>
        <v>941.17647058823525</v>
      </c>
      <c r="G78" s="10">
        <f>F78-E78</f>
        <v>298.84702093397732</v>
      </c>
      <c r="H78" s="10"/>
      <c r="L78" s="10"/>
      <c r="M78" s="10"/>
      <c r="N78" s="10"/>
      <c r="O78" s="10"/>
      <c r="P78" s="10"/>
      <c r="Q78" s="10"/>
      <c r="R78" s="10"/>
    </row>
    <row r="79" spans="1:18" x14ac:dyDescent="0.25">
      <c r="A79" s="6">
        <v>2</v>
      </c>
      <c r="B79" s="10">
        <v>655.17603864734315</v>
      </c>
      <c r="C79" s="10">
        <f>Työkaluvälilehti!$B$12*(A79-A78)*Työkaluvälilehti!$B$3</f>
        <v>960</v>
      </c>
      <c r="D79" s="10">
        <f t="shared" ref="D79:D80" si="36">C79-B79</f>
        <v>304.82396135265685</v>
      </c>
      <c r="E79" s="10">
        <f t="shared" ref="E79:F86" si="37">B79/(1+$B$1)^$A79</f>
        <v>629.73475456299798</v>
      </c>
      <c r="F79" s="10">
        <f t="shared" si="35"/>
        <v>922.72202998846603</v>
      </c>
      <c r="G79" s="10">
        <f t="shared" ref="G79:G80" si="38">F79-E79</f>
        <v>292.98727542546806</v>
      </c>
      <c r="H79" s="10"/>
      <c r="L79" s="10"/>
      <c r="M79" s="10"/>
      <c r="N79" s="10"/>
      <c r="O79" s="10"/>
      <c r="P79" s="10"/>
      <c r="Q79" s="10"/>
      <c r="R79" s="10"/>
    </row>
    <row r="80" spans="1:18" x14ac:dyDescent="0.25">
      <c r="A80" s="6">
        <v>3</v>
      </c>
      <c r="B80" s="10">
        <v>655.17603864734315</v>
      </c>
      <c r="C80" s="10">
        <f>Työkaluvälilehti!$B$12*(A80-A79)*Työkaluvälilehti!$B$3</f>
        <v>960</v>
      </c>
      <c r="D80" s="10">
        <f t="shared" si="36"/>
        <v>304.82396135265685</v>
      </c>
      <c r="E80" s="10">
        <f t="shared" si="37"/>
        <v>617.38701427744911</v>
      </c>
      <c r="F80" s="10">
        <f t="shared" si="35"/>
        <v>904.6294411651628</v>
      </c>
      <c r="G80" s="10">
        <f t="shared" si="38"/>
        <v>287.24242688771369</v>
      </c>
      <c r="H80" s="10"/>
      <c r="L80" s="10"/>
      <c r="M80" s="10"/>
      <c r="N80" s="10"/>
      <c r="O80" s="10"/>
      <c r="P80" s="10"/>
      <c r="Q80" s="10"/>
      <c r="R80" s="10"/>
    </row>
    <row r="81" spans="1:18" x14ac:dyDescent="0.25">
      <c r="A81" s="6">
        <v>4</v>
      </c>
      <c r="B81" s="10">
        <v>655.17603864734315</v>
      </c>
      <c r="C81" s="10">
        <f>Työkaluvälilehti!$B$12*(A81-A80)*Työkaluvälilehti!$B$3</f>
        <v>960</v>
      </c>
      <c r="D81" s="10">
        <f>C81-B81</f>
        <v>304.82396135265685</v>
      </c>
      <c r="E81" s="10">
        <f t="shared" si="37"/>
        <v>605.28138654651866</v>
      </c>
      <c r="F81" s="10">
        <f t="shared" si="37"/>
        <v>886.89160898545367</v>
      </c>
      <c r="G81" s="10">
        <f>F81-E81</f>
        <v>281.61022243893501</v>
      </c>
      <c r="H81" s="10"/>
      <c r="L81" s="10"/>
      <c r="M81" s="10"/>
      <c r="N81" s="10"/>
      <c r="O81" s="10"/>
      <c r="P81" s="10"/>
      <c r="Q81" s="10"/>
      <c r="R81" s="10"/>
    </row>
    <row r="82" spans="1:18" x14ac:dyDescent="0.25">
      <c r="A82" s="6">
        <v>5</v>
      </c>
      <c r="B82" s="10">
        <v>655.17603864734315</v>
      </c>
      <c r="C82" s="10">
        <f>Työkaluvälilehti!$B$12*(A82-A81)*Työkaluvälilehti!$B$3</f>
        <v>960</v>
      </c>
      <c r="D82" s="10">
        <f>C82-B82</f>
        <v>304.82396135265685</v>
      </c>
      <c r="E82" s="10">
        <f t="shared" si="37"/>
        <v>593.41312406521433</v>
      </c>
      <c r="F82" s="10">
        <f t="shared" si="37"/>
        <v>869.50157743671923</v>
      </c>
      <c r="G82" s="10">
        <f>F82-E82</f>
        <v>276.0884533715049</v>
      </c>
      <c r="H82" s="10"/>
      <c r="L82" s="10"/>
      <c r="M82" s="10"/>
      <c r="N82" s="10"/>
      <c r="O82" s="10"/>
      <c r="P82" s="10"/>
      <c r="Q82" s="10"/>
      <c r="R82" s="10"/>
    </row>
    <row r="83" spans="1:18" x14ac:dyDescent="0.25">
      <c r="A83" s="6">
        <v>6</v>
      </c>
      <c r="B83" s="10">
        <v>655.17603864734315</v>
      </c>
      <c r="C83" s="10">
        <f>Työkaluvälilehti!$B$12*(A83-A82)*Työkaluvälilehti!$B$3</f>
        <v>960</v>
      </c>
      <c r="D83" s="10">
        <f>C83-B83</f>
        <v>304.82396135265685</v>
      </c>
      <c r="E83" s="10">
        <f t="shared" si="37"/>
        <v>581.77757261295528</v>
      </c>
      <c r="F83" s="10">
        <f t="shared" si="37"/>
        <v>852.45252689874428</v>
      </c>
      <c r="G83" s="10">
        <f>F83-E83</f>
        <v>270.674954285789</v>
      </c>
      <c r="H83" s="10"/>
      <c r="L83" s="10"/>
      <c r="M83" s="10"/>
      <c r="N83" s="10"/>
      <c r="O83" s="10"/>
      <c r="P83" s="10"/>
      <c r="Q83" s="10"/>
      <c r="R83" s="10"/>
    </row>
    <row r="84" spans="1:18" x14ac:dyDescent="0.25">
      <c r="A84" s="6">
        <v>7</v>
      </c>
      <c r="B84" s="10">
        <v>655.17603864734315</v>
      </c>
      <c r="C84" s="10">
        <f>Työkaluvälilehti!$B$12*(A84-A83)*Työkaluvälilehti!$B$3</f>
        <v>960</v>
      </c>
      <c r="D84" s="10">
        <f t="shared" ref="D84:D85" si="39">C84-B84</f>
        <v>304.82396135265685</v>
      </c>
      <c r="E84" s="10">
        <f>B84/(1+$B$1)^$A84</f>
        <v>570.37016922838757</v>
      </c>
      <c r="F84" s="10">
        <f t="shared" si="37"/>
        <v>835.73777146935731</v>
      </c>
      <c r="G84" s="10">
        <f>F84-E84</f>
        <v>265.36760224096975</v>
      </c>
      <c r="H84" s="10"/>
      <c r="L84" s="10"/>
      <c r="M84" s="10"/>
      <c r="N84" s="10"/>
      <c r="O84" s="10"/>
      <c r="P84" s="10"/>
      <c r="Q84" s="10"/>
      <c r="R84" s="10"/>
    </row>
    <row r="85" spans="1:18" x14ac:dyDescent="0.25">
      <c r="A85" s="6">
        <v>8</v>
      </c>
      <c r="B85" s="10">
        <v>655.17603864734315</v>
      </c>
      <c r="C85" s="10">
        <f>Työkaluvälilehti!$B$12*(A85-A84)*Työkaluvälilehti!$B$3</f>
        <v>960</v>
      </c>
      <c r="D85" s="10">
        <f t="shared" si="39"/>
        <v>304.82396135265685</v>
      </c>
      <c r="E85" s="10">
        <f t="shared" ref="E85" si="40">B85/(1+$B$1)^$A85</f>
        <v>559.18644041998778</v>
      </c>
      <c r="F85" s="10">
        <f t="shared" si="37"/>
        <v>819.35075634250711</v>
      </c>
      <c r="G85" s="10">
        <f t="shared" ref="G85:G86" si="41">F85-E85</f>
        <v>260.16431592251934</v>
      </c>
      <c r="H85" s="10"/>
      <c r="L85" s="10"/>
      <c r="M85" s="10"/>
      <c r="N85" s="10"/>
      <c r="O85" s="10"/>
      <c r="P85" s="10"/>
      <c r="Q85" s="10"/>
      <c r="R85" s="10"/>
    </row>
    <row r="86" spans="1:18" x14ac:dyDescent="0.25">
      <c r="A86" s="6">
        <v>9</v>
      </c>
      <c r="B86" s="10">
        <v>655.17603864734315</v>
      </c>
      <c r="C86" s="10">
        <f>Työkaluvälilehti!$B$12*(A86-A85)*Työkaluvälilehti!$B$3</f>
        <v>960</v>
      </c>
      <c r="D86" s="10">
        <f>C86-B86</f>
        <v>304.82396135265685</v>
      </c>
      <c r="E86" s="10">
        <f>B86/(1+$B$1)^$A86</f>
        <v>548.22200041175279</v>
      </c>
      <c r="F86" s="10">
        <f t="shared" si="37"/>
        <v>803.28505523775209</v>
      </c>
      <c r="G86" s="10">
        <f t="shared" si="41"/>
        <v>255.0630548259993</v>
      </c>
      <c r="H86" s="10"/>
      <c r="L86" s="10"/>
      <c r="M86" s="10"/>
      <c r="N86" s="10"/>
      <c r="O86" s="10"/>
      <c r="P86" s="10"/>
      <c r="Q86" s="10"/>
      <c r="R86" s="10"/>
    </row>
    <row r="87" spans="1:18" x14ac:dyDescent="0.25">
      <c r="A87" s="6">
        <v>10</v>
      </c>
      <c r="B87" s="10">
        <v>685.52239523649041</v>
      </c>
      <c r="C87" s="10">
        <f>Työkaluvälilehti!$B$12*(A87-A86)*Työkaluvälilehti!$B$3</f>
        <v>960</v>
      </c>
      <c r="D87" s="10">
        <f>C87-B87</f>
        <v>274.47760476350959</v>
      </c>
      <c r="E87" s="10">
        <f>B87/(1+$B$1)^$A87</f>
        <v>562.36713145859915</v>
      </c>
      <c r="F87" s="10">
        <f>C87/(1+$B$1)^$A87</f>
        <v>787.53436788014903</v>
      </c>
      <c r="G87" s="10">
        <f>F87-E87</f>
        <v>225.16723642154989</v>
      </c>
      <c r="H87" s="10"/>
      <c r="L87" s="10"/>
      <c r="M87" s="10"/>
      <c r="N87" s="10"/>
      <c r="O87" s="10"/>
      <c r="P87" s="10"/>
      <c r="Q87" s="10"/>
      <c r="R87" s="10"/>
    </row>
    <row r="88" spans="1:18" x14ac:dyDescent="0.25">
      <c r="A88" s="6" t="s">
        <v>103</v>
      </c>
      <c r="B88" s="10" t="s">
        <v>107</v>
      </c>
      <c r="C88" s="10" t="s">
        <v>98</v>
      </c>
      <c r="D88" s="10" t="s">
        <v>99</v>
      </c>
      <c r="E88" s="10" t="s">
        <v>100</v>
      </c>
      <c r="F88" s="10" t="s">
        <v>101</v>
      </c>
      <c r="G88" s="10" t="s">
        <v>102</v>
      </c>
      <c r="H88" s="10" t="s">
        <v>83</v>
      </c>
      <c r="L88" s="10"/>
      <c r="M88" s="10"/>
      <c r="N88" s="10"/>
      <c r="O88" s="10"/>
      <c r="P88" s="10"/>
      <c r="Q88" s="10"/>
      <c r="R88" s="10"/>
    </row>
    <row r="89" spans="1:18" x14ac:dyDescent="0.25">
      <c r="B89" s="10">
        <f>SUM(B77:B87)</f>
        <v>7823.1584501332873</v>
      </c>
      <c r="C89" s="10">
        <f t="shared" ref="C89:G89" si="42">SUM(C77:C87)</f>
        <v>9600</v>
      </c>
      <c r="D89" s="10">
        <f>SUM(D77:D87)</f>
        <v>1776.8415498667146</v>
      </c>
      <c r="E89" s="10">
        <f t="shared" si="42"/>
        <v>7151.1207503088262</v>
      </c>
      <c r="F89" s="10">
        <f t="shared" si="42"/>
        <v>8623.2816059925481</v>
      </c>
      <c r="G89" s="10">
        <f t="shared" si="42"/>
        <v>1472.1608556837195</v>
      </c>
      <c r="H89" s="10">
        <f>G89/(1-(1/(1+$B$1))^(A87))</f>
        <v>8194.5278261250733</v>
      </c>
      <c r="L89" s="10"/>
      <c r="M89" s="10"/>
      <c r="N89" s="10"/>
      <c r="O89" s="10"/>
      <c r="P89" s="10"/>
      <c r="Q89" s="10"/>
      <c r="R89" s="10"/>
    </row>
    <row r="90" spans="1:18" x14ac:dyDescent="0.25">
      <c r="B90" s="10" t="s">
        <v>104</v>
      </c>
      <c r="C90" s="10">
        <v>1610.3158450133287</v>
      </c>
      <c r="D90" s="10"/>
      <c r="E90" s="10"/>
      <c r="F90" s="10"/>
      <c r="G90" s="10"/>
      <c r="H90" s="10"/>
      <c r="L90" s="10"/>
      <c r="M90" s="10"/>
      <c r="N90" s="10"/>
      <c r="O90" s="10"/>
      <c r="P90" s="10"/>
      <c r="Q90" s="10"/>
      <c r="R90" s="10"/>
    </row>
    <row r="91" spans="1:18" x14ac:dyDescent="0.25">
      <c r="A91" s="6" t="s">
        <v>74</v>
      </c>
      <c r="B91" s="10"/>
      <c r="C91" s="10"/>
      <c r="D91" s="10"/>
      <c r="E91" s="10"/>
      <c r="F91" s="10"/>
      <c r="G91" s="10"/>
      <c r="H91" s="10"/>
      <c r="L91" s="10"/>
      <c r="M91" s="10"/>
      <c r="N91" s="10"/>
      <c r="O91" s="10"/>
      <c r="P91" s="10"/>
      <c r="Q91" s="10"/>
      <c r="R91" s="10"/>
    </row>
    <row r="92" spans="1:18" x14ac:dyDescent="0.25">
      <c r="A92" s="6" t="s">
        <v>78</v>
      </c>
      <c r="B92" s="10" t="s">
        <v>107</v>
      </c>
      <c r="C92" s="10" t="s">
        <v>98</v>
      </c>
      <c r="D92" s="10" t="s">
        <v>99</v>
      </c>
      <c r="E92" s="10" t="s">
        <v>100</v>
      </c>
      <c r="F92" s="10" t="s">
        <v>101</v>
      </c>
      <c r="G92" s="10" t="s">
        <v>102</v>
      </c>
      <c r="H92" s="10"/>
      <c r="L92" s="10"/>
      <c r="M92" s="10"/>
      <c r="N92" s="10"/>
      <c r="O92" s="10"/>
      <c r="P92" s="10"/>
      <c r="Q92" s="10"/>
      <c r="R92" s="10"/>
    </row>
    <row r="93" spans="1:18" x14ac:dyDescent="0.25">
      <c r="A93" s="6">
        <v>0</v>
      </c>
      <c r="B93" s="10">
        <v>1241.0517070707067</v>
      </c>
      <c r="C93" s="10">
        <v>0</v>
      </c>
      <c r="D93" s="10">
        <f>C93-B93</f>
        <v>-1241.0517070707067</v>
      </c>
      <c r="E93" s="10">
        <f>B93/(1+$B$1)^$A93</f>
        <v>1241.0517070707067</v>
      </c>
      <c r="F93" s="10">
        <f>C93/(1+$B$1)^$A93</f>
        <v>0</v>
      </c>
      <c r="G93" s="10">
        <f>F93-E93</f>
        <v>-1241.0517070707067</v>
      </c>
      <c r="H93" s="10"/>
      <c r="L93" s="10"/>
      <c r="M93" s="10"/>
      <c r="N93" s="10"/>
      <c r="O93" s="10"/>
      <c r="P93" s="10"/>
      <c r="Q93" s="10"/>
      <c r="R93" s="10"/>
    </row>
    <row r="94" spans="1:18" x14ac:dyDescent="0.25">
      <c r="A94" s="6">
        <v>1</v>
      </c>
      <c r="B94" s="10">
        <v>88.968222222222209</v>
      </c>
      <c r="C94" s="10">
        <v>0</v>
      </c>
      <c r="D94" s="10">
        <f>C94-B94</f>
        <v>-88.968222222222209</v>
      </c>
      <c r="E94" s="10">
        <f>B94/(1+$B$1)^$A94</f>
        <v>87.223747276688442</v>
      </c>
      <c r="F94" s="10">
        <f t="shared" ref="F94:F96" si="43">C94/(1+$B$1)^$A94</f>
        <v>0</v>
      </c>
      <c r="G94" s="10">
        <f>F94-E94</f>
        <v>-87.223747276688442</v>
      </c>
      <c r="H94" s="10"/>
      <c r="L94" s="10"/>
      <c r="M94" s="10"/>
      <c r="N94" s="10"/>
      <c r="O94" s="10"/>
      <c r="P94" s="10"/>
      <c r="Q94" s="10"/>
      <c r="R94" s="10"/>
    </row>
    <row r="95" spans="1:18" x14ac:dyDescent="0.25">
      <c r="A95" s="6">
        <v>2</v>
      </c>
      <c r="B95" s="10">
        <v>976.66324361628699</v>
      </c>
      <c r="C95" s="10">
        <f>Työkaluvälilehti!$B$12*(A95-A94)*Työkaluvälilehti!$B$4</f>
        <v>1200</v>
      </c>
      <c r="D95" s="10">
        <f t="shared" ref="D95:D96" si="44">C95-B95</f>
        <v>223.33675638371301</v>
      </c>
      <c r="E95" s="10">
        <f t="shared" ref="E95:F102" si="45">B95/(1+$B$1)^$A95</f>
        <v>938.73821954660423</v>
      </c>
      <c r="F95" s="10">
        <f t="shared" si="43"/>
        <v>1153.4025374855826</v>
      </c>
      <c r="G95" s="10">
        <f t="shared" ref="G95:G96" si="46">F95-E95</f>
        <v>214.66431793897834</v>
      </c>
      <c r="H95" s="10"/>
      <c r="L95" s="10"/>
      <c r="M95" s="10"/>
      <c r="N95" s="10"/>
      <c r="O95" s="10"/>
      <c r="P95" s="10"/>
      <c r="Q95" s="10"/>
      <c r="R95" s="10"/>
    </row>
    <row r="96" spans="1:18" x14ac:dyDescent="0.25">
      <c r="A96" s="6">
        <v>3</v>
      </c>
      <c r="B96" s="10">
        <v>976.66324361628699</v>
      </c>
      <c r="C96" s="10">
        <f>Työkaluvälilehti!$B$12*(A96-A95)*Työkaluvälilehti!$B$4</f>
        <v>1200</v>
      </c>
      <c r="D96" s="10">
        <f t="shared" si="44"/>
        <v>223.33675638371301</v>
      </c>
      <c r="E96" s="10">
        <f t="shared" si="45"/>
        <v>920.33158779078849</v>
      </c>
      <c r="F96" s="10">
        <f t="shared" si="43"/>
        <v>1130.7868014564535</v>
      </c>
      <c r="G96" s="10">
        <f t="shared" si="46"/>
        <v>210.45521366566504</v>
      </c>
      <c r="H96" s="10"/>
      <c r="L96" s="10"/>
      <c r="M96" s="10"/>
      <c r="N96" s="10"/>
      <c r="O96" s="10"/>
      <c r="P96" s="10"/>
      <c r="Q96" s="10"/>
      <c r="R96" s="10"/>
    </row>
    <row r="97" spans="1:18" x14ac:dyDescent="0.25">
      <c r="A97" s="6">
        <v>4</v>
      </c>
      <c r="B97" s="10">
        <v>976.66324361628699</v>
      </c>
      <c r="C97" s="10">
        <f>Työkaluvälilehti!$B$12*(A97-A96)*Työkaluvälilehti!$B$4</f>
        <v>1200</v>
      </c>
      <c r="D97" s="10">
        <f>C97-B97</f>
        <v>223.33675638371301</v>
      </c>
      <c r="E97" s="10">
        <f t="shared" si="45"/>
        <v>902.28587038312594</v>
      </c>
      <c r="F97" s="10">
        <f t="shared" si="45"/>
        <v>1108.614511231817</v>
      </c>
      <c r="G97" s="10">
        <f>F97-E97</f>
        <v>206.32864084869107</v>
      </c>
      <c r="H97" s="10"/>
      <c r="L97" s="10"/>
      <c r="M97" s="10"/>
      <c r="N97" s="10"/>
      <c r="O97" s="10"/>
      <c r="P97" s="10"/>
      <c r="Q97" s="10"/>
      <c r="R97" s="10"/>
    </row>
    <row r="98" spans="1:18" x14ac:dyDescent="0.25">
      <c r="A98" s="6">
        <v>5</v>
      </c>
      <c r="B98" s="10">
        <v>976.66324361628699</v>
      </c>
      <c r="C98" s="10">
        <f>Työkaluvälilehti!$B$12*(A98-A97)*Työkaluvälilehti!$B$4</f>
        <v>1200</v>
      </c>
      <c r="D98" s="10">
        <f>C98-B98</f>
        <v>223.33675638371301</v>
      </c>
      <c r="E98" s="10">
        <f t="shared" si="45"/>
        <v>884.59399057169207</v>
      </c>
      <c r="F98" s="10">
        <f t="shared" si="45"/>
        <v>1086.876971795899</v>
      </c>
      <c r="G98" s="10">
        <f>F98-E98</f>
        <v>202.28298122420688</v>
      </c>
      <c r="H98" s="10"/>
      <c r="L98" s="10"/>
      <c r="M98" s="10"/>
      <c r="N98" s="10"/>
      <c r="O98" s="10"/>
      <c r="P98" s="10"/>
      <c r="Q98" s="10"/>
      <c r="R98" s="10"/>
    </row>
    <row r="99" spans="1:18" x14ac:dyDescent="0.25">
      <c r="A99" s="6">
        <v>6</v>
      </c>
      <c r="B99" s="10">
        <v>976.66324361628699</v>
      </c>
      <c r="C99" s="10">
        <f>Työkaluvälilehti!$B$12*(A99-A98)*Työkaluvälilehti!$B$4</f>
        <v>1200</v>
      </c>
      <c r="D99" s="10">
        <f>C99-B99</f>
        <v>223.33675638371301</v>
      </c>
      <c r="E99" s="10">
        <f t="shared" si="45"/>
        <v>867.24901036440394</v>
      </c>
      <c r="F99" s="10">
        <f t="shared" si="45"/>
        <v>1065.5656586234304</v>
      </c>
      <c r="G99" s="10">
        <f>F99-E99</f>
        <v>198.31664825902646</v>
      </c>
      <c r="H99" s="10"/>
      <c r="L99" s="10"/>
      <c r="M99" s="10"/>
      <c r="N99" s="10"/>
      <c r="O99" s="10"/>
      <c r="P99" s="10"/>
      <c r="Q99" s="10"/>
      <c r="R99" s="10"/>
    </row>
    <row r="100" spans="1:18" x14ac:dyDescent="0.25">
      <c r="A100" s="6">
        <v>7</v>
      </c>
      <c r="B100" s="10">
        <v>976.66324361628699</v>
      </c>
      <c r="C100" s="10">
        <f>Työkaluvälilehti!$B$12*(A100-A99)*Työkaluvälilehti!$B$4</f>
        <v>1200</v>
      </c>
      <c r="D100" s="10">
        <f t="shared" ref="D100:D101" si="47">C100-B100</f>
        <v>223.33675638371301</v>
      </c>
      <c r="E100" s="10">
        <f>B100/(1+$B$1)^$A100</f>
        <v>850.24412780823934</v>
      </c>
      <c r="F100" s="10">
        <f t="shared" si="45"/>
        <v>1044.6722143366967</v>
      </c>
      <c r="G100" s="10">
        <f>F100-E100</f>
        <v>194.42808652845736</v>
      </c>
      <c r="H100" s="10"/>
      <c r="L100" s="10"/>
      <c r="M100" s="10"/>
      <c r="N100" s="10"/>
      <c r="O100" s="10"/>
      <c r="P100" s="10"/>
      <c r="Q100" s="10"/>
      <c r="R100" s="10"/>
    </row>
    <row r="101" spans="1:18" x14ac:dyDescent="0.25">
      <c r="A101" s="6">
        <v>8</v>
      </c>
      <c r="B101" s="10">
        <v>976.66324361628699</v>
      </c>
      <c r="C101" s="10">
        <f>Työkaluvälilehti!$B$12*(A101-A100)*Työkaluvälilehti!$B$4</f>
        <v>1200</v>
      </c>
      <c r="D101" s="10">
        <f t="shared" si="47"/>
        <v>223.33675638371301</v>
      </c>
      <c r="E101" s="10">
        <f t="shared" ref="E101" si="48">B101/(1+$B$1)^$A101</f>
        <v>833.57267432180322</v>
      </c>
      <c r="F101" s="10">
        <f t="shared" si="45"/>
        <v>1024.1884454281339</v>
      </c>
      <c r="G101" s="10">
        <f t="shared" ref="G101:G102" si="49">F101-E101</f>
        <v>190.61577110633073</v>
      </c>
      <c r="H101" s="10"/>
      <c r="L101" s="10"/>
      <c r="M101" s="10"/>
      <c r="N101" s="10"/>
      <c r="O101" s="10"/>
      <c r="P101" s="10"/>
      <c r="Q101" s="10"/>
      <c r="R101" s="10"/>
    </row>
    <row r="102" spans="1:18" x14ac:dyDescent="0.25">
      <c r="A102" s="6">
        <v>9</v>
      </c>
      <c r="B102" s="10">
        <v>976.66324361628699</v>
      </c>
      <c r="C102" s="10">
        <f>Työkaluvälilehti!$B$12*(A102-A101)*Työkaluvälilehti!$B$4</f>
        <v>1200</v>
      </c>
      <c r="D102" s="10">
        <f>C102-B102</f>
        <v>223.33675638371301</v>
      </c>
      <c r="E102" s="10">
        <f>B102/(1+$B$1)^$A102</f>
        <v>817.22811208019925</v>
      </c>
      <c r="F102" s="10">
        <f t="shared" si="45"/>
        <v>1004.1063190471901</v>
      </c>
      <c r="G102" s="10">
        <f t="shared" si="49"/>
        <v>186.87820696699089</v>
      </c>
      <c r="H102" s="10"/>
      <c r="L102" s="10"/>
      <c r="M102" s="10"/>
      <c r="N102" s="10"/>
      <c r="O102" s="10"/>
      <c r="P102" s="10"/>
      <c r="Q102" s="10"/>
      <c r="R102" s="10"/>
    </row>
    <row r="103" spans="1:18" x14ac:dyDescent="0.25">
      <c r="A103" s="6">
        <v>10</v>
      </c>
      <c r="B103" s="10">
        <v>1007.0096002054343</v>
      </c>
      <c r="C103" s="10">
        <f>Työkaluvälilehti!$B$12*(A103-A102)*Työkaluvälilehti!$B$4</f>
        <v>1200</v>
      </c>
      <c r="D103" s="10">
        <f>C103-B103</f>
        <v>192.99039979456575</v>
      </c>
      <c r="E103" s="10">
        <f>B103/(1+$B$1)^$A103</f>
        <v>826.09861348648781</v>
      </c>
      <c r="F103" s="10">
        <f>C103/(1+$B$1)^$A103</f>
        <v>984.41795985018632</v>
      </c>
      <c r="G103" s="10">
        <f>F103-E103</f>
        <v>158.31934636369851</v>
      </c>
      <c r="H103" s="10"/>
      <c r="L103" s="10"/>
      <c r="M103" s="10"/>
      <c r="N103" s="10"/>
      <c r="O103" s="10"/>
      <c r="P103" s="10"/>
      <c r="Q103" s="10"/>
      <c r="R103" s="10"/>
    </row>
    <row r="104" spans="1:18" x14ac:dyDescent="0.25">
      <c r="A104" s="6" t="s">
        <v>103</v>
      </c>
      <c r="B104" s="10" t="s">
        <v>107</v>
      </c>
      <c r="C104" s="10" t="s">
        <v>98</v>
      </c>
      <c r="D104" s="10" t="s">
        <v>99</v>
      </c>
      <c r="E104" s="10" t="s">
        <v>100</v>
      </c>
      <c r="F104" s="10" t="s">
        <v>101</v>
      </c>
      <c r="G104" s="10" t="s">
        <v>102</v>
      </c>
      <c r="H104" s="10" t="s">
        <v>83</v>
      </c>
      <c r="L104" s="10"/>
      <c r="M104" s="10"/>
      <c r="N104" s="10"/>
      <c r="O104" s="10"/>
      <c r="P104" s="10"/>
      <c r="Q104" s="10"/>
      <c r="R104" s="10"/>
    </row>
    <row r="105" spans="1:18" x14ac:dyDescent="0.25">
      <c r="B105" s="10">
        <f>SUM(B93:B103)</f>
        <v>10150.33547842866</v>
      </c>
      <c r="C105" s="10">
        <f t="shared" ref="C105:G105" si="50">SUM(C93:C103)</f>
        <v>10800</v>
      </c>
      <c r="D105" s="10">
        <f t="shared" si="50"/>
        <v>649.66452157134086</v>
      </c>
      <c r="E105" s="10">
        <f t="shared" si="50"/>
        <v>9168.6176607007401</v>
      </c>
      <c r="F105" s="10">
        <f t="shared" si="50"/>
        <v>9602.6314192553909</v>
      </c>
      <c r="G105" s="10">
        <f t="shared" si="50"/>
        <v>434.01375855465017</v>
      </c>
      <c r="H105" s="10">
        <f>G105/(1-(1/(1+$B$1))^(A103))</f>
        <v>2415.8622392832458</v>
      </c>
      <c r="L105" s="10"/>
      <c r="M105" s="10"/>
      <c r="N105" s="10"/>
      <c r="O105" s="10"/>
      <c r="P105" s="10"/>
      <c r="Q105" s="10"/>
      <c r="R105" s="10"/>
    </row>
    <row r="106" spans="1:18" x14ac:dyDescent="0.25">
      <c r="B106" s="10" t="s">
        <v>104</v>
      </c>
      <c r="C106" s="10">
        <v>1843.033547842866</v>
      </c>
      <c r="D106" s="10"/>
      <c r="E106" s="10"/>
      <c r="F106" s="10"/>
      <c r="G106" s="10"/>
      <c r="H106" s="10"/>
      <c r="L106" s="10"/>
      <c r="M106" s="10"/>
      <c r="N106" s="10"/>
      <c r="O106" s="10"/>
      <c r="P106" s="10"/>
      <c r="Q106" s="10"/>
      <c r="R106" s="10"/>
    </row>
    <row r="107" spans="1:18" x14ac:dyDescent="0.25">
      <c r="A107" s="6" t="s">
        <v>77</v>
      </c>
      <c r="B107" s="10"/>
      <c r="C107" s="10"/>
      <c r="D107" s="10"/>
      <c r="E107" s="10"/>
      <c r="F107" s="10"/>
      <c r="G107" s="10"/>
      <c r="H107" s="10"/>
      <c r="L107" s="10"/>
      <c r="M107" s="10"/>
      <c r="N107" s="10"/>
      <c r="O107" s="10"/>
      <c r="P107" s="10"/>
      <c r="Q107" s="10"/>
      <c r="R107" s="10"/>
    </row>
    <row r="108" spans="1:18" x14ac:dyDescent="0.25">
      <c r="A108" s="6" t="s">
        <v>78</v>
      </c>
      <c r="B108" s="10" t="s">
        <v>107</v>
      </c>
      <c r="C108" s="10" t="s">
        <v>98</v>
      </c>
      <c r="D108" s="10" t="s">
        <v>99</v>
      </c>
      <c r="E108" s="10" t="s">
        <v>100</v>
      </c>
      <c r="F108" s="10" t="s">
        <v>101</v>
      </c>
      <c r="G108" s="10" t="s">
        <v>102</v>
      </c>
      <c r="H108" s="10"/>
      <c r="L108" s="10"/>
      <c r="M108" s="10"/>
      <c r="N108" s="10"/>
      <c r="O108" s="10"/>
      <c r="P108" s="10"/>
      <c r="Q108" s="10"/>
      <c r="R108" s="10"/>
    </row>
    <row r="109" spans="1:18" x14ac:dyDescent="0.25">
      <c r="A109" s="6">
        <v>0</v>
      </c>
      <c r="B109" s="10">
        <v>1241.0517070707067</v>
      </c>
      <c r="C109" s="10">
        <v>0</v>
      </c>
      <c r="D109" s="10">
        <f>C109-B109</f>
        <v>-1241.0517070707067</v>
      </c>
      <c r="E109" s="10">
        <f>B109/(1+$B$1)^$A109</f>
        <v>1241.0517070707067</v>
      </c>
      <c r="F109" s="10">
        <f>C109/(1+$B$1)^$A109</f>
        <v>0</v>
      </c>
      <c r="G109" s="10">
        <f>F109-E109</f>
        <v>-1241.0517070707067</v>
      </c>
      <c r="H109" s="10"/>
      <c r="L109" s="10"/>
      <c r="M109" s="10"/>
      <c r="N109" s="10"/>
      <c r="O109" s="10"/>
      <c r="P109" s="10"/>
      <c r="Q109" s="10"/>
      <c r="R109" s="10"/>
    </row>
    <row r="110" spans="1:18" x14ac:dyDescent="0.25">
      <c r="A110" s="6">
        <v>1</v>
      </c>
      <c r="B110" s="10">
        <v>88.968222222222209</v>
      </c>
      <c r="C110" s="10">
        <v>0</v>
      </c>
      <c r="D110" s="10">
        <f>C110-B110</f>
        <v>-88.968222222222209</v>
      </c>
      <c r="E110" s="10">
        <f>B110/(1+$B$1)^$A110</f>
        <v>87.223747276688442</v>
      </c>
      <c r="F110" s="10">
        <f t="shared" ref="F110:F112" si="51">C110/(1+$B$1)^$A110</f>
        <v>0</v>
      </c>
      <c r="G110" s="10">
        <f>F110-E110</f>
        <v>-87.223747276688442</v>
      </c>
      <c r="H110" s="10"/>
      <c r="L110" s="10"/>
      <c r="M110" s="10"/>
      <c r="N110" s="10"/>
      <c r="O110" s="10"/>
      <c r="P110" s="10"/>
      <c r="Q110" s="10"/>
      <c r="R110" s="10"/>
    </row>
    <row r="111" spans="1:18" x14ac:dyDescent="0.25">
      <c r="A111" s="6">
        <v>2</v>
      </c>
      <c r="B111" s="10">
        <v>978.55909313833445</v>
      </c>
      <c r="C111" s="10">
        <f>Työkaluvälilehti!$B$12*(A111-A110)*Työkaluvälilehti!$B$5</f>
        <v>960</v>
      </c>
      <c r="D111" s="10">
        <f t="shared" ref="D111:D112" si="52">C111-B111</f>
        <v>-18.559093138334447</v>
      </c>
      <c r="E111" s="10">
        <f t="shared" ref="E111:F118" si="53">B111/(1+$B$1)^$A111</f>
        <v>940.56045092112117</v>
      </c>
      <c r="F111" s="10">
        <f t="shared" si="51"/>
        <v>922.72202998846603</v>
      </c>
      <c r="G111" s="10">
        <f t="shared" ref="G111:G112" si="54">F111-E111</f>
        <v>-17.83842093265514</v>
      </c>
      <c r="H111" s="10"/>
      <c r="L111" s="10"/>
      <c r="M111" s="10"/>
      <c r="N111" s="10"/>
      <c r="O111" s="10"/>
      <c r="P111" s="10"/>
      <c r="Q111" s="10"/>
      <c r="R111" s="10"/>
    </row>
    <row r="112" spans="1:18" x14ac:dyDescent="0.25">
      <c r="A112" s="6">
        <v>3</v>
      </c>
      <c r="B112" s="10">
        <v>978.55909313833445</v>
      </c>
      <c r="C112" s="10">
        <f>Työkaluvälilehti!$B$12*(A112-A111)*Työkaluvälilehti!$B$5</f>
        <v>960</v>
      </c>
      <c r="D112" s="10">
        <f t="shared" si="52"/>
        <v>-18.559093138334447</v>
      </c>
      <c r="E112" s="10">
        <f t="shared" si="53"/>
        <v>922.11808913835409</v>
      </c>
      <c r="F112" s="10">
        <f t="shared" si="51"/>
        <v>904.6294411651628</v>
      </c>
      <c r="G112" s="10">
        <f t="shared" si="54"/>
        <v>-17.488647973191291</v>
      </c>
      <c r="H112" s="10"/>
      <c r="L112" s="10"/>
      <c r="M112" s="10"/>
      <c r="N112" s="10"/>
      <c r="O112" s="10"/>
      <c r="P112" s="10"/>
      <c r="Q112" s="10"/>
      <c r="R112" s="10"/>
    </row>
    <row r="113" spans="1:18" x14ac:dyDescent="0.25">
      <c r="A113" s="6">
        <v>4</v>
      </c>
      <c r="B113" s="10">
        <v>978.55909313833445</v>
      </c>
      <c r="C113" s="10">
        <f>Työkaluvälilehti!$B$12*(A113-A112)*Työkaluvälilehti!$B$5</f>
        <v>960</v>
      </c>
      <c r="D113" s="10">
        <f>C113-B113</f>
        <v>-18.559093138334447</v>
      </c>
      <c r="E113" s="10">
        <f t="shared" si="53"/>
        <v>904.03734229250404</v>
      </c>
      <c r="F113" s="10">
        <f t="shared" si="53"/>
        <v>886.89160898545367</v>
      </c>
      <c r="G113" s="10">
        <f>F113-E113</f>
        <v>-17.145733307050364</v>
      </c>
      <c r="H113" s="10"/>
      <c r="L113" s="10"/>
      <c r="M113" s="10"/>
      <c r="N113" s="10"/>
      <c r="O113" s="10"/>
      <c r="P113" s="10"/>
      <c r="Q113" s="10"/>
      <c r="R113" s="10"/>
    </row>
    <row r="114" spans="1:18" x14ac:dyDescent="0.25">
      <c r="A114" s="6">
        <v>5</v>
      </c>
      <c r="B114" s="10">
        <v>978.55909313833445</v>
      </c>
      <c r="C114" s="10">
        <f>Työkaluvälilehti!$B$12*(A114-A113)*Työkaluvälilehti!$B$5</f>
        <v>960</v>
      </c>
      <c r="D114" s="10">
        <f>C114-B114</f>
        <v>-18.559093138334447</v>
      </c>
      <c r="E114" s="10">
        <f t="shared" si="53"/>
        <v>886.31111989461169</v>
      </c>
      <c r="F114" s="10">
        <f t="shared" si="53"/>
        <v>869.50157743671923</v>
      </c>
      <c r="G114" s="10">
        <f>F114-E114</f>
        <v>-16.809542457892462</v>
      </c>
      <c r="H114" s="10"/>
      <c r="L114" s="10"/>
      <c r="M114" s="10"/>
      <c r="N114" s="10"/>
      <c r="O114" s="10"/>
      <c r="P114" s="10"/>
      <c r="Q114" s="10"/>
      <c r="R114" s="10"/>
    </row>
    <row r="115" spans="1:18" x14ac:dyDescent="0.25">
      <c r="A115" s="6">
        <v>6</v>
      </c>
      <c r="B115" s="10">
        <v>978.55909313833445</v>
      </c>
      <c r="C115" s="10">
        <f>Työkaluvälilehti!$B$12*(A115-A114)*Työkaluvälilehti!$B$5</f>
        <v>960</v>
      </c>
      <c r="D115" s="10">
        <f>C115-B115</f>
        <v>-18.559093138334447</v>
      </c>
      <c r="E115" s="10">
        <f t="shared" si="53"/>
        <v>868.93247048491344</v>
      </c>
      <c r="F115" s="10">
        <f t="shared" si="53"/>
        <v>852.45252689874428</v>
      </c>
      <c r="G115" s="10">
        <f>F115-E115</f>
        <v>-16.479943586169156</v>
      </c>
      <c r="H115" s="10"/>
      <c r="L115" s="10"/>
      <c r="M115" s="10"/>
      <c r="N115" s="10"/>
      <c r="O115" s="10"/>
      <c r="P115" s="10"/>
      <c r="Q115" s="10"/>
      <c r="R115" s="10"/>
    </row>
    <row r="116" spans="1:18" x14ac:dyDescent="0.25">
      <c r="A116" s="6">
        <v>7</v>
      </c>
      <c r="B116" s="10">
        <v>978.55909313833445</v>
      </c>
      <c r="C116" s="10">
        <f>Työkaluvälilehti!$B$12*(A116-A115)*Työkaluvälilehti!$B$5</f>
        <v>960</v>
      </c>
      <c r="D116" s="10">
        <f t="shared" ref="D116:D117" si="55">C116-B116</f>
        <v>-18.559093138334447</v>
      </c>
      <c r="E116" s="10">
        <f>B116/(1+$B$1)^$A116</f>
        <v>851.89457890677807</v>
      </c>
      <c r="F116" s="10">
        <f t="shared" si="53"/>
        <v>835.73777146935731</v>
      </c>
      <c r="G116" s="10">
        <f>F116-E116</f>
        <v>-16.156807437420753</v>
      </c>
      <c r="H116" s="10"/>
      <c r="L116" s="10"/>
      <c r="M116" s="10"/>
      <c r="N116" s="10"/>
      <c r="O116" s="10"/>
      <c r="P116" s="10"/>
      <c r="Q116" s="10"/>
      <c r="R116" s="10"/>
    </row>
    <row r="117" spans="1:18" x14ac:dyDescent="0.25">
      <c r="A117" s="6">
        <v>8</v>
      </c>
      <c r="B117" s="10">
        <v>978.55909313833445</v>
      </c>
      <c r="C117" s="10">
        <f>Työkaluvälilehti!$B$12*(A117-A116)*Työkaluvälilehti!$B$5</f>
        <v>960</v>
      </c>
      <c r="D117" s="10">
        <f t="shared" si="55"/>
        <v>-18.559093138334447</v>
      </c>
      <c r="E117" s="10">
        <f t="shared" ref="E117" si="56">B117/(1+$B$1)^$A117</f>
        <v>835.19076363409602</v>
      </c>
      <c r="F117" s="10">
        <f t="shared" si="53"/>
        <v>819.35075634250711</v>
      </c>
      <c r="G117" s="10">
        <f t="shared" ref="G117:G118" si="57">F117-E117</f>
        <v>-15.840007291588904</v>
      </c>
      <c r="H117" s="10"/>
      <c r="L117" s="10"/>
      <c r="M117" s="10"/>
      <c r="N117" s="10"/>
      <c r="O117" s="10"/>
      <c r="P117" s="10"/>
      <c r="Q117" s="10"/>
      <c r="R117" s="10"/>
    </row>
    <row r="118" spans="1:18" x14ac:dyDescent="0.25">
      <c r="A118" s="6">
        <v>9</v>
      </c>
      <c r="B118" s="10">
        <v>978.55909313833445</v>
      </c>
      <c r="C118" s="10">
        <f>Työkaluvälilehti!$B$12*(A118-A117)*Työkaluvälilehti!$B$5</f>
        <v>960</v>
      </c>
      <c r="D118" s="10">
        <f>C118-B118</f>
        <v>-18.559093138334447</v>
      </c>
      <c r="E118" s="10">
        <f>B118/(1+$B$1)^$A118</f>
        <v>818.81447415107459</v>
      </c>
      <c r="F118" s="10">
        <f t="shared" si="53"/>
        <v>803.28505523775209</v>
      </c>
      <c r="G118" s="10">
        <f t="shared" si="57"/>
        <v>-15.529418913322502</v>
      </c>
      <c r="H118" s="10"/>
      <c r="L118" s="10"/>
      <c r="M118" s="10"/>
      <c r="N118" s="10"/>
      <c r="O118" s="10"/>
      <c r="P118" s="10"/>
      <c r="Q118" s="10"/>
      <c r="R118" s="10"/>
    </row>
    <row r="119" spans="1:18" x14ac:dyDescent="0.25">
      <c r="A119" s="6">
        <v>10</v>
      </c>
      <c r="B119" s="10">
        <v>1008.9054497274817</v>
      </c>
      <c r="C119" s="10">
        <f>Työkaluvälilehti!$B$12*(A119-A118)*Työkaluvälilehti!$B$5</f>
        <v>960</v>
      </c>
      <c r="D119" s="10">
        <f>C119-B119</f>
        <v>-48.905449727481709</v>
      </c>
      <c r="E119" s="10">
        <f>B119/(1+$B$1)^$A119</f>
        <v>827.65387041871861</v>
      </c>
      <c r="F119" s="10">
        <f>C119/(1+$B$1)^$A119</f>
        <v>787.53436788014903</v>
      </c>
      <c r="G119" s="10">
        <f>F119-E119</f>
        <v>-40.119502538569577</v>
      </c>
      <c r="H119" s="10"/>
      <c r="L119" s="10"/>
      <c r="M119" s="10"/>
      <c r="N119" s="10"/>
      <c r="O119" s="10"/>
      <c r="P119" s="10"/>
      <c r="Q119" s="10"/>
      <c r="R119" s="10"/>
    </row>
    <row r="120" spans="1:18" x14ac:dyDescent="0.25">
      <c r="A120" s="6" t="s">
        <v>103</v>
      </c>
      <c r="B120" s="10" t="s">
        <v>107</v>
      </c>
      <c r="C120" s="10" t="s">
        <v>98</v>
      </c>
      <c r="D120" s="10" t="s">
        <v>99</v>
      </c>
      <c r="E120" s="10" t="s">
        <v>100</v>
      </c>
      <c r="F120" s="10" t="s">
        <v>101</v>
      </c>
      <c r="G120" s="10" t="s">
        <v>102</v>
      </c>
      <c r="H120" s="10" t="s">
        <v>83</v>
      </c>
      <c r="L120" s="10"/>
      <c r="M120" s="10"/>
      <c r="N120" s="10"/>
      <c r="O120" s="10"/>
      <c r="P120" s="10"/>
      <c r="Q120" s="10"/>
      <c r="R120" s="10"/>
    </row>
    <row r="121" spans="1:18" x14ac:dyDescent="0.25">
      <c r="B121" s="10">
        <f>SUM(B109:B119)</f>
        <v>10167.398124127083</v>
      </c>
      <c r="C121" s="10">
        <f t="shared" ref="C121:G121" si="58">SUM(C109:C119)</f>
        <v>8640</v>
      </c>
      <c r="D121" s="10">
        <f t="shared" si="58"/>
        <v>-1527.3981241270862</v>
      </c>
      <c r="E121" s="10">
        <f t="shared" si="58"/>
        <v>9183.7886141895669</v>
      </c>
      <c r="F121" s="10">
        <f t="shared" si="58"/>
        <v>7682.105135404312</v>
      </c>
      <c r="G121" s="10">
        <f t="shared" si="58"/>
        <v>-1501.6834787852549</v>
      </c>
      <c r="H121" s="10">
        <f>G121/(1-(1/(1+$B$1))^(A119))</f>
        <v>-8358.8603822935893</v>
      </c>
      <c r="L121" s="10"/>
      <c r="M121" s="10"/>
      <c r="N121" s="10"/>
      <c r="O121" s="10"/>
      <c r="P121" s="10"/>
      <c r="Q121" s="10"/>
      <c r="R121" s="10"/>
    </row>
    <row r="122" spans="1:18" x14ac:dyDescent="0.25">
      <c r="B122" s="10" t="s">
        <v>104</v>
      </c>
      <c r="C122" s="10">
        <v>1844.739812412708</v>
      </c>
      <c r="D122" s="10"/>
      <c r="E122" s="10"/>
      <c r="F122" s="10"/>
      <c r="G122" s="10"/>
      <c r="H122" s="10"/>
      <c r="L122" s="10"/>
      <c r="M122" s="10"/>
      <c r="N122" s="10"/>
      <c r="O122" s="10"/>
      <c r="P122" s="10"/>
      <c r="Q122" s="10"/>
      <c r="R122" s="10"/>
    </row>
    <row r="123" spans="1:18" x14ac:dyDescent="0.25">
      <c r="A123" s="6" t="s">
        <v>11</v>
      </c>
      <c r="B123" s="10"/>
      <c r="C123" s="10"/>
      <c r="D123" s="10"/>
      <c r="E123" s="10"/>
      <c r="F123" s="10"/>
      <c r="G123" s="10"/>
      <c r="H123" s="10"/>
      <c r="L123" s="10"/>
      <c r="M123" s="10"/>
      <c r="N123" s="10"/>
      <c r="O123" s="10"/>
      <c r="P123" s="10"/>
      <c r="Q123" s="10"/>
      <c r="R123" s="10"/>
    </row>
    <row r="124" spans="1:18" x14ac:dyDescent="0.25">
      <c r="A124" s="6" t="s">
        <v>78</v>
      </c>
      <c r="B124" s="10" t="s">
        <v>107</v>
      </c>
      <c r="C124" s="10" t="s">
        <v>98</v>
      </c>
      <c r="D124" s="10" t="s">
        <v>99</v>
      </c>
      <c r="E124" s="10" t="s">
        <v>100</v>
      </c>
      <c r="F124" s="10" t="s">
        <v>101</v>
      </c>
      <c r="G124" s="10" t="s">
        <v>102</v>
      </c>
      <c r="H124" s="10"/>
      <c r="L124" s="10"/>
      <c r="M124" s="10"/>
      <c r="N124" s="10"/>
      <c r="O124" s="10"/>
      <c r="P124" s="10"/>
      <c r="Q124" s="10"/>
      <c r="R124" s="10"/>
    </row>
    <row r="125" spans="1:18" x14ac:dyDescent="0.25">
      <c r="A125" s="6">
        <v>0</v>
      </c>
      <c r="B125" s="10">
        <v>964.17833333333328</v>
      </c>
      <c r="C125" s="10">
        <v>0</v>
      </c>
      <c r="D125" s="10">
        <f>C125-B125</f>
        <v>-964.17833333333328</v>
      </c>
      <c r="E125" s="10">
        <f>B125/(1+$B$1)^$A125</f>
        <v>964.17833333333328</v>
      </c>
      <c r="F125" s="10">
        <f>C125/(1+$B$1)^$A125</f>
        <v>0</v>
      </c>
      <c r="G125" s="10">
        <f>F125-E125</f>
        <v>-964.17833333333328</v>
      </c>
      <c r="H125" s="10"/>
      <c r="L125" s="10"/>
      <c r="M125" s="10"/>
      <c r="N125" s="10"/>
      <c r="O125" s="10"/>
      <c r="P125" s="10"/>
      <c r="Q125" s="10"/>
      <c r="R125" s="10"/>
    </row>
    <row r="126" spans="1:18" x14ac:dyDescent="0.25">
      <c r="A126" s="6">
        <v>1</v>
      </c>
      <c r="B126" s="10">
        <v>685.90959595959589</v>
      </c>
      <c r="C126" s="10">
        <v>0</v>
      </c>
      <c r="D126" s="10">
        <f>C126-B126</f>
        <v>-685.90959595959589</v>
      </c>
      <c r="E126" s="10">
        <f>B126/(1+$B$1)^$A126</f>
        <v>672.46038819568219</v>
      </c>
      <c r="F126" s="10">
        <f t="shared" ref="F126:F128" si="59">C126/(1+$B$1)^$A126</f>
        <v>0</v>
      </c>
      <c r="G126" s="10">
        <f>F126-E126</f>
        <v>-672.46038819568219</v>
      </c>
      <c r="H126" s="10"/>
      <c r="L126" s="10"/>
      <c r="M126" s="10"/>
      <c r="N126" s="10"/>
      <c r="O126" s="10"/>
      <c r="P126" s="10"/>
      <c r="Q126" s="10"/>
      <c r="R126" s="10"/>
    </row>
    <row r="127" spans="1:18" x14ac:dyDescent="0.25">
      <c r="A127" s="6">
        <v>2</v>
      </c>
      <c r="B127" s="10">
        <v>1276.4018032045042</v>
      </c>
      <c r="C127" s="10">
        <f>Työkaluvälilehti!$B$13*(A127-A126)*Työkaluvälilehti!$B$6</f>
        <v>1500</v>
      </c>
      <c r="D127" s="10">
        <f t="shared" ref="D127:D128" si="60">C127-B127</f>
        <v>223.59819679549582</v>
      </c>
      <c r="E127" s="10">
        <f>B127/(1+$B$1)^$A127</f>
        <v>1226.8375655560401</v>
      </c>
      <c r="F127" s="10">
        <f>C127/(1+$B$1)^$A127</f>
        <v>1441.753171856978</v>
      </c>
      <c r="G127" s="10">
        <f>F127-E127</f>
        <v>214.91560630093795</v>
      </c>
      <c r="H127" s="10"/>
      <c r="L127" s="10"/>
      <c r="M127" s="10"/>
      <c r="N127" s="10"/>
      <c r="O127" s="10"/>
      <c r="P127" s="10"/>
      <c r="Q127" s="10"/>
      <c r="R127" s="10"/>
    </row>
    <row r="128" spans="1:18" x14ac:dyDescent="0.25">
      <c r="A128" s="6">
        <v>3</v>
      </c>
      <c r="B128" s="10">
        <v>1276.4018032045042</v>
      </c>
      <c r="C128" s="10">
        <f>Työkaluvälilehti!$B$13*(A128-A127)*Työkaluvälilehti!$B$6</f>
        <v>1500</v>
      </c>
      <c r="D128" s="10">
        <f t="shared" si="60"/>
        <v>223.59819679549582</v>
      </c>
      <c r="E128" s="10">
        <f t="shared" ref="E128:F133" si="61">B128/(1+$B$1)^$A128</f>
        <v>1202.7819270157256</v>
      </c>
      <c r="F128" s="10">
        <f t="shared" si="59"/>
        <v>1413.4835018205667</v>
      </c>
      <c r="G128" s="10">
        <f t="shared" ref="G128" si="62">F128-E128</f>
        <v>210.70157480484113</v>
      </c>
      <c r="H128" s="10"/>
      <c r="L128" s="10"/>
      <c r="M128" s="10"/>
      <c r="N128" s="10"/>
      <c r="O128" s="10"/>
      <c r="P128" s="10"/>
      <c r="Q128" s="10"/>
      <c r="R128" s="10"/>
    </row>
    <row r="129" spans="1:18" x14ac:dyDescent="0.25">
      <c r="A129" s="6">
        <v>4</v>
      </c>
      <c r="B129" s="10">
        <v>1276.4018032045042</v>
      </c>
      <c r="C129" s="10">
        <f>Työkaluvälilehti!$B$13*(A129-A128)*Työkaluvälilehti!$B$6</f>
        <v>1500</v>
      </c>
      <c r="D129" s="10">
        <f>C129-B129</f>
        <v>223.59819679549582</v>
      </c>
      <c r="E129" s="10">
        <f t="shared" si="61"/>
        <v>1179.1979676624762</v>
      </c>
      <c r="F129" s="10">
        <f t="shared" si="61"/>
        <v>1385.7681390397713</v>
      </c>
      <c r="G129" s="10">
        <f>F129-E129</f>
        <v>206.57017137729508</v>
      </c>
      <c r="H129" s="10"/>
      <c r="L129" s="10"/>
      <c r="M129" s="10"/>
      <c r="N129" s="10"/>
      <c r="O129" s="10"/>
      <c r="P129" s="10"/>
      <c r="Q129" s="10"/>
      <c r="R129" s="10"/>
    </row>
    <row r="130" spans="1:18" x14ac:dyDescent="0.25">
      <c r="A130" s="6">
        <v>5</v>
      </c>
      <c r="B130" s="10">
        <v>1802.0945163827987</v>
      </c>
      <c r="C130" s="10">
        <f>Työkaluvälilehti!$B$13*(A130-A129)*Työkaluvälilehti!$B$6</f>
        <v>1500</v>
      </c>
      <c r="D130" s="10">
        <f>C130-B130</f>
        <v>-302.0945163827987</v>
      </c>
      <c r="E130" s="10">
        <f t="shared" si="61"/>
        <v>1632.2125257134428</v>
      </c>
      <c r="F130" s="10">
        <f t="shared" si="61"/>
        <v>1358.5962147448738</v>
      </c>
      <c r="G130" s="10">
        <f>F130-E130</f>
        <v>-273.616310968569</v>
      </c>
      <c r="H130" s="10"/>
      <c r="L130" s="10"/>
      <c r="M130" s="10"/>
      <c r="N130" s="10"/>
      <c r="O130" s="10"/>
      <c r="P130" s="10"/>
      <c r="Q130" s="10"/>
      <c r="R130" s="10"/>
    </row>
    <row r="131" spans="1:18" x14ac:dyDescent="0.25">
      <c r="A131" s="6">
        <v>6</v>
      </c>
      <c r="B131" s="10">
        <v>1276.4018032045042</v>
      </c>
      <c r="C131" s="10">
        <f>Työkaluvälilehti!$B$13*(A131-A130)*Työkaluvälilehti!$B$6</f>
        <v>1500</v>
      </c>
      <c r="D131" s="10">
        <f>C131-B131</f>
        <v>223.59819679549582</v>
      </c>
      <c r="E131" s="10">
        <f t="shared" si="61"/>
        <v>1133.4082734164515</v>
      </c>
      <c r="F131" s="10">
        <f t="shared" si="61"/>
        <v>1331.9570732792879</v>
      </c>
      <c r="G131" s="10">
        <f>F131-E131</f>
        <v>198.5487998628364</v>
      </c>
      <c r="H131" s="10"/>
      <c r="L131" s="10"/>
      <c r="M131" s="10"/>
      <c r="N131" s="10"/>
      <c r="O131" s="10"/>
      <c r="P131" s="10"/>
      <c r="Q131" s="10"/>
      <c r="R131" s="10"/>
    </row>
    <row r="132" spans="1:18" x14ac:dyDescent="0.25">
      <c r="A132" s="6">
        <v>7</v>
      </c>
      <c r="B132" s="10">
        <v>1276.4018032045042</v>
      </c>
      <c r="C132" s="10">
        <f>Työkaluvälilehti!$B$13*(A132-A131)*Työkaluvälilehti!$B$6</f>
        <v>1500</v>
      </c>
      <c r="D132" s="10">
        <f t="shared" ref="D132:D133" si="63">C132-B132</f>
        <v>223.59819679549582</v>
      </c>
      <c r="E132" s="10">
        <f t="shared" si="61"/>
        <v>1111.1845817808351</v>
      </c>
      <c r="F132" s="10">
        <f t="shared" si="61"/>
        <v>1305.8402679208709</v>
      </c>
      <c r="G132" s="10">
        <f>F132-E132</f>
        <v>194.65568614003587</v>
      </c>
      <c r="H132" s="10"/>
      <c r="L132" s="10"/>
      <c r="M132" s="10"/>
      <c r="N132" s="10"/>
      <c r="O132" s="10"/>
      <c r="P132" s="10"/>
      <c r="Q132" s="10"/>
      <c r="R132" s="10"/>
    </row>
    <row r="133" spans="1:18" x14ac:dyDescent="0.25">
      <c r="A133" s="6">
        <v>8</v>
      </c>
      <c r="B133" s="10">
        <v>1276.4018032045042</v>
      </c>
      <c r="C133" s="10">
        <f>Työkaluvälilehti!$B$13*(A133-A132)*Työkaluvälilehti!$B$6</f>
        <v>1500</v>
      </c>
      <c r="D133" s="10">
        <f t="shared" si="63"/>
        <v>223.59819679549582</v>
      </c>
      <c r="E133" s="10">
        <f t="shared" si="61"/>
        <v>1089.3966488047402</v>
      </c>
      <c r="F133" s="10">
        <f>C133/(1+$B$1)^$A133</f>
        <v>1280.2355567851673</v>
      </c>
      <c r="G133" s="10">
        <f t="shared" ref="G133:G134" si="64">F133-E133</f>
        <v>190.83890798042717</v>
      </c>
      <c r="H133" s="10"/>
      <c r="L133" s="10"/>
      <c r="M133" s="10"/>
      <c r="N133" s="10"/>
      <c r="O133" s="10"/>
      <c r="P133" s="10"/>
      <c r="Q133" s="10"/>
      <c r="R133" s="10"/>
    </row>
    <row r="134" spans="1:18" x14ac:dyDescent="0.25">
      <c r="A134" s="6">
        <v>9</v>
      </c>
      <c r="B134" s="10">
        <v>1276.4018032045042</v>
      </c>
      <c r="C134" s="10">
        <f>Työkaluvälilehti!$B$13*(A134-A133)*Työkaluvälilehti!$B$6</f>
        <v>1500</v>
      </c>
      <c r="D134" s="10">
        <f>C134-B134</f>
        <v>223.59819679549582</v>
      </c>
      <c r="E134" s="10">
        <f>B134/(1+$B$1)^$A134</f>
        <v>1068.0359302007255</v>
      </c>
      <c r="F134" s="10">
        <f>C134/(1+$B$1)^$A134</f>
        <v>1255.1328988089876</v>
      </c>
      <c r="G134" s="10">
        <f t="shared" si="64"/>
        <v>187.09696860826216</v>
      </c>
      <c r="H134" s="10"/>
      <c r="L134" s="10"/>
      <c r="M134" s="10"/>
      <c r="N134" s="10"/>
      <c r="O134" s="10"/>
      <c r="P134" s="10"/>
      <c r="Q134" s="10"/>
      <c r="R134" s="10"/>
    </row>
    <row r="135" spans="1:18" x14ac:dyDescent="0.25">
      <c r="A135" s="6">
        <v>10</v>
      </c>
      <c r="B135" s="10">
        <v>651.18492042320304</v>
      </c>
      <c r="C135" s="10">
        <f>Työkaluvälilehti!$B$13*(A135-A134)*Työkaluvälilehti!$B$6</f>
        <v>1500</v>
      </c>
      <c r="D135" s="10">
        <f>C135-B135</f>
        <v>848.81507957679696</v>
      </c>
      <c r="E135" s="10">
        <f>B135/(1+$B$1)^$A135</f>
        <v>534.19844237351288</v>
      </c>
      <c r="F135" s="10">
        <f>C135/(1+$B$1)^$A135</f>
        <v>1230.5224498127329</v>
      </c>
      <c r="G135" s="10">
        <f>F135-E135</f>
        <v>696.32400743922005</v>
      </c>
      <c r="H135" s="10"/>
      <c r="L135" s="10"/>
      <c r="M135" s="10"/>
      <c r="N135" s="10"/>
      <c r="O135" s="10"/>
      <c r="P135" s="10"/>
      <c r="Q135" s="10"/>
      <c r="R135" s="10"/>
    </row>
    <row r="136" spans="1:18" x14ac:dyDescent="0.25">
      <c r="A136" s="6" t="s">
        <v>103</v>
      </c>
      <c r="B136" s="10" t="s">
        <v>107</v>
      </c>
      <c r="C136" s="10" t="s">
        <v>98</v>
      </c>
      <c r="D136" s="10" t="s">
        <v>99</v>
      </c>
      <c r="E136" s="10" t="s">
        <v>100</v>
      </c>
      <c r="F136" s="10" t="s">
        <v>101</v>
      </c>
      <c r="G136" s="10" t="s">
        <v>102</v>
      </c>
      <c r="H136" s="10" t="s">
        <v>83</v>
      </c>
      <c r="L136" s="10"/>
      <c r="M136" s="10"/>
      <c r="N136" s="10"/>
      <c r="O136" s="10"/>
      <c r="P136" s="10"/>
      <c r="Q136" s="10"/>
      <c r="R136" s="10"/>
    </row>
    <row r="137" spans="1:18" x14ac:dyDescent="0.25">
      <c r="B137" s="10">
        <f>SUM(B125:B135)</f>
        <v>13038.179988530461</v>
      </c>
      <c r="C137" s="10">
        <f t="shared" ref="C137:F137" si="65">SUM(C125:C135)</f>
        <v>13500</v>
      </c>
      <c r="D137" s="10">
        <f t="shared" si="65"/>
        <v>461.82001146953985</v>
      </c>
      <c r="E137" s="10">
        <f t="shared" si="65"/>
        <v>11813.892584052965</v>
      </c>
      <c r="F137" s="10">
        <f t="shared" si="65"/>
        <v>12003.289274069239</v>
      </c>
      <c r="G137" s="10">
        <f>SUM(G125:G135)</f>
        <v>189.39669001627124</v>
      </c>
      <c r="H137" s="10">
        <f>G137/(1-(1/(1+$B$1))^(A135))</f>
        <v>1054.2437944347544</v>
      </c>
      <c r="L137" s="10"/>
      <c r="M137" s="10"/>
      <c r="N137" s="10"/>
      <c r="O137" s="10"/>
      <c r="P137" s="10"/>
      <c r="Q137" s="10"/>
      <c r="R137" s="10"/>
    </row>
  </sheetData>
  <sheetProtection selectLockedCells="1" selectUnlockedCells="1"/>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266F6C-8212-4B61-B1F3-7C7C0C5EF62F}">
  <dimension ref="A1:W137"/>
  <sheetViews>
    <sheetView workbookViewId="0">
      <selection activeCell="AF27" sqref="AF27"/>
    </sheetView>
  </sheetViews>
  <sheetFormatPr defaultColWidth="4.7109375" defaultRowHeight="15" x14ac:dyDescent="0.25"/>
  <cols>
    <col min="1" max="1" width="4.85546875" style="6" bestFit="1" customWidth="1"/>
    <col min="2" max="7" width="6" style="6" bestFit="1" customWidth="1"/>
    <col min="8" max="8" width="6.7109375" style="6" bestFit="1" customWidth="1"/>
    <col min="9" max="9" width="11.85546875" style="6" customWidth="1"/>
    <col min="10" max="10" width="4.7109375" style="6"/>
    <col min="11" max="11" width="8.5703125" style="6" customWidth="1"/>
    <col min="12" max="16384" width="4.7109375" style="6"/>
  </cols>
  <sheetData>
    <row r="1" spans="1:23" x14ac:dyDescent="0.25">
      <c r="A1" s="6" t="s">
        <v>94</v>
      </c>
      <c r="B1" s="6">
        <v>0.01</v>
      </c>
    </row>
    <row r="3" spans="1:23" x14ac:dyDescent="0.25">
      <c r="A3" s="6" t="s">
        <v>95</v>
      </c>
    </row>
    <row r="4" spans="1:23" x14ac:dyDescent="0.25">
      <c r="A4" s="6" t="s">
        <v>78</v>
      </c>
      <c r="B4" s="6" t="s">
        <v>96</v>
      </c>
      <c r="C4" s="6" t="s">
        <v>97</v>
      </c>
      <c r="D4" s="6" t="s">
        <v>98</v>
      </c>
      <c r="E4" s="6" t="s">
        <v>99</v>
      </c>
      <c r="F4" s="6" t="s">
        <v>100</v>
      </c>
      <c r="G4" s="6" t="s">
        <v>101</v>
      </c>
      <c r="H4" s="6" t="s">
        <v>102</v>
      </c>
      <c r="T4" s="10"/>
      <c r="U4" s="10"/>
    </row>
    <row r="5" spans="1:23" x14ac:dyDescent="0.25">
      <c r="A5" s="6">
        <v>0</v>
      </c>
      <c r="B5" s="10">
        <v>2623.0520000000001</v>
      </c>
      <c r="C5" s="6">
        <v>0</v>
      </c>
      <c r="D5" s="10">
        <v>0</v>
      </c>
      <c r="E5" s="10">
        <f>D5-B5-C5</f>
        <v>-2623.0520000000001</v>
      </c>
      <c r="F5" s="10">
        <f>B5/(1+$B$1)^$A5+C5/(1+$B$1)^$A5</f>
        <v>2623.0520000000001</v>
      </c>
      <c r="G5" s="10">
        <f t="shared" ref="G5:G12" si="0">D5/(1+$B$1)^$A5</f>
        <v>0</v>
      </c>
      <c r="H5" s="10">
        <f>G5-F5</f>
        <v>-2623.0520000000001</v>
      </c>
      <c r="I5" s="10"/>
      <c r="K5" s="10">
        <f>E5/(1+$B$1)^(A5)</f>
        <v>-2623.0520000000001</v>
      </c>
      <c r="L5" s="10"/>
      <c r="M5" s="10"/>
      <c r="N5" s="10"/>
      <c r="O5" s="10"/>
      <c r="P5" s="10"/>
      <c r="Q5" s="10"/>
      <c r="R5" s="10"/>
    </row>
    <row r="6" spans="1:23" x14ac:dyDescent="0.25">
      <c r="A6" s="6">
        <v>1</v>
      </c>
      <c r="B6" s="10">
        <v>123.69</v>
      </c>
      <c r="C6" s="6">
        <v>0</v>
      </c>
      <c r="D6" s="10">
        <v>0</v>
      </c>
      <c r="E6" s="10">
        <f t="shared" ref="E6:E12" si="1">D6-B6-C6</f>
        <v>-123.69</v>
      </c>
      <c r="F6" s="10">
        <f t="shared" ref="F6" si="2">B6/(1+$B$1)^$A6+C6/(1+$B$1)^$A6</f>
        <v>122.46534653465346</v>
      </c>
      <c r="G6" s="10">
        <f t="shared" si="0"/>
        <v>0</v>
      </c>
      <c r="H6" s="10">
        <f>G6-F6</f>
        <v>-122.46534653465346</v>
      </c>
      <c r="I6" s="10"/>
      <c r="K6" s="10">
        <f t="shared" ref="K6:K12" si="3">E6/(1+$B$1)^(A6)</f>
        <v>-122.46534653465346</v>
      </c>
      <c r="L6" s="10"/>
      <c r="M6" s="10"/>
      <c r="N6" s="10"/>
      <c r="O6" s="10"/>
      <c r="P6" s="10"/>
      <c r="Q6" s="10"/>
      <c r="R6" s="10"/>
      <c r="S6" s="13"/>
      <c r="T6" s="10"/>
      <c r="U6" s="10"/>
      <c r="V6" s="10"/>
      <c r="W6" s="10"/>
    </row>
    <row r="7" spans="1:23" x14ac:dyDescent="0.25">
      <c r="A7" s="6">
        <v>5</v>
      </c>
      <c r="B7" s="10">
        <v>366.1198</v>
      </c>
      <c r="C7" s="6">
        <f>750.215+224.759*Laskuri!$B$13-1.873*Laskuri!$B$13^2</f>
        <v>1827.1849999999997</v>
      </c>
      <c r="D7" s="10">
        <f>Työkaluvälilehti!$B$10*(A7-A6)*Työkaluvälilehti!$B$2</f>
        <v>2510.2560000000003</v>
      </c>
      <c r="E7" s="10">
        <f>D7-B7-C7</f>
        <v>316.95120000000065</v>
      </c>
      <c r="F7" s="10">
        <f t="shared" ref="F7:F12" si="4">B7/(1+$B$1)^$A7+C7/(1+$B$1)^$A7</f>
        <v>2086.8542596631828</v>
      </c>
      <c r="G7" s="10">
        <f t="shared" si="0"/>
        <v>2388.4224511089674</v>
      </c>
      <c r="H7" s="10">
        <f t="shared" ref="H7:H11" si="5">G7-F7</f>
        <v>301.56819144578458</v>
      </c>
      <c r="I7" s="10"/>
      <c r="K7" s="10">
        <f t="shared" si="3"/>
        <v>301.56819144578481</v>
      </c>
      <c r="L7" s="10"/>
      <c r="M7" s="10"/>
      <c r="N7" s="10"/>
      <c r="O7" s="10"/>
      <c r="P7" s="10"/>
      <c r="Q7" s="10"/>
      <c r="R7" s="10"/>
      <c r="S7" s="13"/>
    </row>
    <row r="8" spans="1:23" x14ac:dyDescent="0.25">
      <c r="A8" s="6">
        <v>9</v>
      </c>
      <c r="B8" s="10">
        <v>366.1198</v>
      </c>
      <c r="C8" s="6">
        <f>750.215+224.759*Laskuri!$B$13-1.873*Laskuri!$B$13^2</f>
        <v>1827.1849999999997</v>
      </c>
      <c r="D8" s="10">
        <f>Työkaluvälilehti!$B$10*(A8-A7)*Työkaluvälilehti!$B$2</f>
        <v>2510.2560000000003</v>
      </c>
      <c r="E8" s="10">
        <f>D8-B8-C8</f>
        <v>316.95120000000065</v>
      </c>
      <c r="F8" s="10">
        <f t="shared" si="4"/>
        <v>2005.4259253365572</v>
      </c>
      <c r="G8" s="10">
        <f t="shared" si="0"/>
        <v>2295.2270298371873</v>
      </c>
      <c r="H8" s="10">
        <f t="shared" si="5"/>
        <v>289.80110450063012</v>
      </c>
      <c r="I8" s="10"/>
      <c r="K8" s="10">
        <f t="shared" si="3"/>
        <v>289.80110450063012</v>
      </c>
      <c r="L8" s="10"/>
      <c r="M8" s="10"/>
      <c r="N8" s="10"/>
      <c r="O8" s="10"/>
      <c r="P8" s="10"/>
      <c r="Q8" s="10"/>
      <c r="R8" s="10"/>
      <c r="S8" s="13"/>
    </row>
    <row r="9" spans="1:23" x14ac:dyDescent="0.25">
      <c r="A9" s="6">
        <v>13</v>
      </c>
      <c r="B9" s="10">
        <v>366.1198</v>
      </c>
      <c r="C9" s="6">
        <f>750.215+224.759*Laskuri!$B$13-1.873*Laskuri!$B$13^2</f>
        <v>1827.1849999999997</v>
      </c>
      <c r="D9" s="10">
        <f>Työkaluvälilehti!$B$10*(A9-A8)*Työkaluvälilehti!$B$2</f>
        <v>2510.2560000000003</v>
      </c>
      <c r="E9" s="10">
        <f>D9-B9-C9</f>
        <v>316.95120000000065</v>
      </c>
      <c r="F9" s="10">
        <f t="shared" si="4"/>
        <v>1927.1748965646955</v>
      </c>
      <c r="G9" s="10">
        <f t="shared" si="0"/>
        <v>2205.6680617992115</v>
      </c>
      <c r="H9" s="10">
        <f t="shared" si="5"/>
        <v>278.49316523451603</v>
      </c>
      <c r="I9" s="10"/>
      <c r="K9" s="10">
        <f t="shared" si="3"/>
        <v>278.4931652345162</v>
      </c>
      <c r="L9" s="10"/>
      <c r="M9" s="10"/>
      <c r="N9" s="10"/>
      <c r="O9" s="10"/>
      <c r="P9" s="10"/>
      <c r="Q9" s="10"/>
      <c r="R9" s="10"/>
      <c r="S9" s="13"/>
    </row>
    <row r="10" spans="1:23" x14ac:dyDescent="0.25">
      <c r="A10" s="6">
        <v>17</v>
      </c>
      <c r="B10" s="10">
        <v>366.1198</v>
      </c>
      <c r="C10" s="6">
        <f>750.215+224.759*Laskuri!$B$13-1.873*Laskuri!$B$13^2</f>
        <v>1827.1849999999997</v>
      </c>
      <c r="D10" s="10">
        <f>Työkaluvälilehti!$B$10*(A10-A9)*Työkaluvälilehti!$B$2</f>
        <v>2510.2560000000003</v>
      </c>
      <c r="E10" s="10">
        <f t="shared" si="1"/>
        <v>316.95120000000065</v>
      </c>
      <c r="F10" s="10">
        <f t="shared" si="4"/>
        <v>1851.9771959793766</v>
      </c>
      <c r="G10" s="10">
        <f t="shared" si="0"/>
        <v>2119.6036538425515</v>
      </c>
      <c r="H10" s="10">
        <f t="shared" si="5"/>
        <v>267.62645786317489</v>
      </c>
      <c r="I10" s="10"/>
      <c r="K10" s="10">
        <f t="shared" si="3"/>
        <v>267.62645786317518</v>
      </c>
      <c r="L10" s="10"/>
      <c r="M10" s="10"/>
      <c r="N10" s="10"/>
      <c r="O10" s="10"/>
      <c r="P10" s="10"/>
      <c r="Q10" s="10"/>
      <c r="R10" s="10"/>
      <c r="S10" s="13"/>
    </row>
    <row r="11" spans="1:23" x14ac:dyDescent="0.25">
      <c r="A11" s="6">
        <v>21</v>
      </c>
      <c r="B11" s="10">
        <v>59</v>
      </c>
      <c r="C11" s="6">
        <f>750.215+224.759*Laskuri!$B$13-1.873*Laskuri!$B$13^2</f>
        <v>1827.1849999999997</v>
      </c>
      <c r="D11" s="10">
        <f>Työkaluvälilehti!$B$10*(A11-A10)*Työkaluvälilehti!$B$2</f>
        <v>2510.2560000000003</v>
      </c>
      <c r="E11" s="10">
        <f t="shared" si="1"/>
        <v>624.07100000000059</v>
      </c>
      <c r="F11" s="10">
        <f t="shared" si="4"/>
        <v>1530.5074126565855</v>
      </c>
      <c r="G11" s="10">
        <f t="shared" si="0"/>
        <v>2036.8974494366519</v>
      </c>
      <c r="H11" s="10">
        <f t="shared" si="5"/>
        <v>506.39003678006634</v>
      </c>
      <c r="I11" s="10"/>
      <c r="K11" s="10">
        <f t="shared" si="3"/>
        <v>506.39003678006617</v>
      </c>
      <c r="L11" s="10"/>
      <c r="M11" s="10"/>
      <c r="N11" s="10"/>
      <c r="O11" s="10"/>
      <c r="P11" s="10"/>
      <c r="Q11" s="10"/>
      <c r="R11" s="10"/>
      <c r="S11" s="13"/>
    </row>
    <row r="12" spans="1:23" x14ac:dyDescent="0.25">
      <c r="A12" s="6">
        <v>22</v>
      </c>
      <c r="B12" s="10">
        <v>400.56279999999998</v>
      </c>
      <c r="C12" s="6">
        <v>0</v>
      </c>
      <c r="D12" s="10">
        <v>0</v>
      </c>
      <c r="E12" s="10">
        <f t="shared" si="1"/>
        <v>-400.56279999999998</v>
      </c>
      <c r="F12" s="10">
        <f t="shared" si="4"/>
        <v>321.81063401904123</v>
      </c>
      <c r="G12" s="10">
        <f t="shared" si="0"/>
        <v>0</v>
      </c>
      <c r="H12" s="10">
        <f>G12-F12</f>
        <v>-321.81063401904123</v>
      </c>
      <c r="I12" s="10"/>
      <c r="K12" s="10">
        <f t="shared" si="3"/>
        <v>-321.81063401904123</v>
      </c>
      <c r="L12" s="10"/>
      <c r="M12" s="10"/>
      <c r="N12" s="10"/>
      <c r="O12" s="10"/>
      <c r="P12" s="10"/>
      <c r="Q12" s="10"/>
      <c r="R12" s="10"/>
      <c r="S12" s="13"/>
    </row>
    <row r="13" spans="1:23" x14ac:dyDescent="0.25">
      <c r="A13" s="6" t="s">
        <v>103</v>
      </c>
      <c r="B13" s="10" t="s">
        <v>96</v>
      </c>
      <c r="C13" s="6" t="s">
        <v>97</v>
      </c>
      <c r="D13" s="10" t="s">
        <v>98</v>
      </c>
      <c r="E13" s="10" t="s">
        <v>99</v>
      </c>
      <c r="F13" s="10" t="s">
        <v>100</v>
      </c>
      <c r="G13" s="10" t="s">
        <v>101</v>
      </c>
      <c r="H13" s="10" t="s">
        <v>102</v>
      </c>
      <c r="I13" s="10" t="s">
        <v>83</v>
      </c>
      <c r="K13" s="10"/>
      <c r="L13" s="10"/>
      <c r="M13" s="10"/>
      <c r="N13" s="10"/>
      <c r="O13" s="10"/>
      <c r="P13" s="10"/>
      <c r="Q13" s="10"/>
      <c r="R13" s="10"/>
    </row>
    <row r="14" spans="1:23" x14ac:dyDescent="0.25">
      <c r="B14" s="10">
        <f t="shared" ref="B14:H14" si="6">SUM(B5:B12)</f>
        <v>4670.7839999999997</v>
      </c>
      <c r="C14" s="10">
        <f t="shared" si="6"/>
        <v>9135.9249999999993</v>
      </c>
      <c r="D14" s="10">
        <f t="shared" si="6"/>
        <v>12551.280000000002</v>
      </c>
      <c r="E14" s="10">
        <f t="shared" si="6"/>
        <v>-1255.4289999999974</v>
      </c>
      <c r="F14" s="10">
        <f t="shared" si="6"/>
        <v>12469.26767075409</v>
      </c>
      <c r="G14" s="10">
        <f t="shared" si="6"/>
        <v>11045.818646024571</v>
      </c>
      <c r="H14" s="10">
        <f t="shared" si="6"/>
        <v>-1423.4490247295225</v>
      </c>
      <c r="I14" s="10">
        <f>H14/(1-(1/(1+$B$1))^(A12))</f>
        <v>-7240.1910461839007</v>
      </c>
      <c r="K14" s="10">
        <f>SUM(K5:K12)</f>
        <v>-1423.4490247295225</v>
      </c>
      <c r="L14" s="10"/>
      <c r="M14" s="10"/>
      <c r="N14" s="10"/>
      <c r="O14" s="10"/>
      <c r="P14" s="10"/>
      <c r="Q14" s="10"/>
      <c r="R14" s="10"/>
    </row>
    <row r="15" spans="1:23" x14ac:dyDescent="0.25">
      <c r="B15" s="10" t="s">
        <v>104</v>
      </c>
      <c r="C15" s="10">
        <v>1397.5694928126527</v>
      </c>
      <c r="D15" s="10"/>
      <c r="E15" s="10"/>
      <c r="F15" s="10"/>
      <c r="G15" s="10"/>
      <c r="H15" s="10"/>
      <c r="K15" s="10"/>
      <c r="L15" s="10"/>
      <c r="M15" s="10"/>
      <c r="N15" s="10"/>
      <c r="O15" s="10"/>
      <c r="P15" s="10"/>
      <c r="Q15" s="10"/>
      <c r="R15" s="10"/>
    </row>
    <row r="16" spans="1:23" x14ac:dyDescent="0.25">
      <c r="B16" s="10"/>
      <c r="C16" s="10"/>
      <c r="D16" s="10"/>
      <c r="E16" s="10"/>
      <c r="F16" s="10"/>
      <c r="G16" s="10"/>
      <c r="H16" s="10"/>
      <c r="K16" s="10"/>
      <c r="L16" s="10"/>
      <c r="M16" s="10"/>
      <c r="N16" s="10"/>
      <c r="O16" s="10"/>
      <c r="P16" s="10"/>
      <c r="Q16" s="10"/>
      <c r="R16" s="10"/>
    </row>
    <row r="17" spans="1:18" x14ac:dyDescent="0.25">
      <c r="B17" s="10"/>
      <c r="C17" s="10"/>
      <c r="D17" s="10"/>
      <c r="E17" s="10"/>
      <c r="F17" s="10"/>
      <c r="G17" s="10"/>
      <c r="H17" s="10"/>
      <c r="K17" s="10"/>
      <c r="L17" s="10"/>
      <c r="M17" s="10"/>
      <c r="N17" s="10"/>
      <c r="O17" s="10"/>
      <c r="P17" s="10"/>
      <c r="Q17" s="10"/>
      <c r="R17" s="10"/>
    </row>
    <row r="18" spans="1:18" x14ac:dyDescent="0.25">
      <c r="A18" s="6" t="s">
        <v>105</v>
      </c>
      <c r="B18" s="10"/>
      <c r="C18" s="10"/>
      <c r="D18" s="10"/>
      <c r="E18" s="10"/>
      <c r="F18" s="10"/>
      <c r="G18" s="10"/>
      <c r="H18" s="10"/>
      <c r="K18" s="10"/>
      <c r="L18" s="10"/>
      <c r="M18" s="10"/>
      <c r="N18" s="10"/>
      <c r="O18" s="10"/>
      <c r="P18" s="10"/>
      <c r="Q18" s="10"/>
      <c r="R18" s="10"/>
    </row>
    <row r="19" spans="1:18" x14ac:dyDescent="0.25">
      <c r="A19" s="6" t="s">
        <v>78</v>
      </c>
      <c r="B19" s="10" t="s">
        <v>96</v>
      </c>
      <c r="C19" s="6" t="s">
        <v>97</v>
      </c>
      <c r="D19" s="10" t="s">
        <v>98</v>
      </c>
      <c r="E19" s="10" t="s">
        <v>99</v>
      </c>
      <c r="F19" s="10" t="s">
        <v>100</v>
      </c>
      <c r="G19" s="10" t="s">
        <v>101</v>
      </c>
      <c r="H19" s="10" t="s">
        <v>102</v>
      </c>
      <c r="I19" s="10"/>
      <c r="K19" s="10"/>
      <c r="L19" s="10"/>
      <c r="M19" s="10"/>
      <c r="N19" s="10"/>
      <c r="O19" s="10"/>
      <c r="P19" s="10"/>
      <c r="Q19" s="10"/>
      <c r="R19" s="10"/>
    </row>
    <row r="20" spans="1:18" x14ac:dyDescent="0.25">
      <c r="A20" s="6">
        <v>0</v>
      </c>
      <c r="B20" s="10">
        <v>2707.34</v>
      </c>
      <c r="C20" s="6">
        <v>0</v>
      </c>
      <c r="D20" s="10">
        <v>0</v>
      </c>
      <c r="E20" s="10">
        <f>D20-B20-C20</f>
        <v>-2707.34</v>
      </c>
      <c r="F20" s="10">
        <f>B20/(1+$B$1)^$A20+C20/(1+$B$1)^$A20</f>
        <v>2707.34</v>
      </c>
      <c r="G20" s="10">
        <f t="shared" ref="G20:G27" si="7">D20/(1+$B$1)^$A20</f>
        <v>0</v>
      </c>
      <c r="H20" s="10">
        <f>G20-F20</f>
        <v>-2707.34</v>
      </c>
      <c r="I20" s="10"/>
      <c r="K20" s="10">
        <f>E20/(1+$B$1)^(A20)</f>
        <v>-2707.34</v>
      </c>
      <c r="L20" s="10"/>
      <c r="M20" s="10"/>
      <c r="N20" s="10"/>
      <c r="O20" s="10"/>
      <c r="P20" s="10"/>
      <c r="Q20" s="10"/>
      <c r="R20" s="10"/>
    </row>
    <row r="21" spans="1:18" x14ac:dyDescent="0.25">
      <c r="A21" s="6">
        <v>1</v>
      </c>
      <c r="B21" s="10">
        <v>320.15999999999997</v>
      </c>
      <c r="C21" s="6">
        <v>0</v>
      </c>
      <c r="D21" s="10">
        <v>0</v>
      </c>
      <c r="E21" s="10">
        <f t="shared" ref="E21:E27" si="8">D21-B21-C21</f>
        <v>-320.15999999999997</v>
      </c>
      <c r="F21" s="10">
        <f t="shared" ref="F21:F27" si="9">B21/(1+$B$1)^$A21+C21/(1+$B$1)^$A21</f>
        <v>316.99009900990097</v>
      </c>
      <c r="G21" s="10">
        <f t="shared" si="7"/>
        <v>0</v>
      </c>
      <c r="H21" s="10">
        <f>G21-F21</f>
        <v>-316.99009900990097</v>
      </c>
      <c r="I21" s="10"/>
      <c r="K21" s="10">
        <f t="shared" ref="K21:K27" si="10">E21/(1+$B$1)^(A21)</f>
        <v>-316.99009900990097</v>
      </c>
      <c r="L21" s="10"/>
      <c r="M21" s="10"/>
      <c r="N21" s="10"/>
      <c r="O21" s="10"/>
      <c r="P21" s="10"/>
      <c r="Q21" s="10"/>
      <c r="R21" s="10"/>
    </row>
    <row r="22" spans="1:18" x14ac:dyDescent="0.25">
      <c r="A22" s="6">
        <v>5</v>
      </c>
      <c r="B22" s="6">
        <v>441.2</v>
      </c>
      <c r="C22" s="6">
        <f>750.215+224.759*Laskuri!$B$13-1.873*Laskuri!$B$13^2</f>
        <v>1827.1849999999997</v>
      </c>
      <c r="D22" s="10">
        <f>Työkaluvälilehti!$B$10*(A22-A21)*Työkaluvälilehti!$B$2</f>
        <v>2510.2560000000003</v>
      </c>
      <c r="E22" s="10">
        <f>D22-B22-C22</f>
        <v>241.87100000000078</v>
      </c>
      <c r="F22" s="10">
        <f>B22/(1+$B$1)^$A22+C22/(1+$B$1)^$A22</f>
        <v>2158.2904937818348</v>
      </c>
      <c r="G22" s="10">
        <f t="shared" si="7"/>
        <v>2388.4224511089674</v>
      </c>
      <c r="H22" s="10">
        <f t="shared" ref="H22:H26" si="11">G22-F22</f>
        <v>230.13195732713257</v>
      </c>
      <c r="I22" s="10"/>
      <c r="K22" s="10">
        <f t="shared" si="10"/>
        <v>230.13195732713268</v>
      </c>
      <c r="L22" s="10"/>
      <c r="M22" s="10"/>
      <c r="N22" s="10"/>
      <c r="O22" s="10"/>
      <c r="P22" s="10"/>
      <c r="Q22" s="10"/>
      <c r="R22" s="10"/>
    </row>
    <row r="23" spans="1:18" x14ac:dyDescent="0.25">
      <c r="A23" s="6">
        <v>9</v>
      </c>
      <c r="B23" s="6">
        <v>441.2</v>
      </c>
      <c r="C23" s="6">
        <f>750.215+224.759*Laskuri!$B$13-1.873*Laskuri!$B$13^2</f>
        <v>1827.1849999999997</v>
      </c>
      <c r="D23" s="10">
        <f>Työkaluvälilehti!$B$10*(A23-A22)*Työkaluvälilehti!$B$2</f>
        <v>2510.2560000000003</v>
      </c>
      <c r="E23" s="10">
        <f>D23-B23-C23</f>
        <v>241.87100000000078</v>
      </c>
      <c r="F23" s="10">
        <f>B23/(1+$B$1)^$A23+C23/(1+$B$1)^$A23</f>
        <v>2074.0747422084546</v>
      </c>
      <c r="G23" s="10">
        <f t="shared" si="7"/>
        <v>2295.2270298371873</v>
      </c>
      <c r="H23" s="10">
        <f t="shared" si="11"/>
        <v>221.15228762873267</v>
      </c>
      <c r="I23" s="10"/>
      <c r="K23" s="10">
        <f t="shared" si="10"/>
        <v>221.15228762873269</v>
      </c>
      <c r="L23" s="10"/>
      <c r="M23" s="10"/>
      <c r="N23" s="10"/>
      <c r="O23" s="10"/>
      <c r="P23" s="10"/>
      <c r="Q23" s="10"/>
      <c r="R23" s="10"/>
    </row>
    <row r="24" spans="1:18" x14ac:dyDescent="0.25">
      <c r="A24" s="6">
        <v>13</v>
      </c>
      <c r="B24" s="6">
        <v>441.2</v>
      </c>
      <c r="C24" s="6">
        <f>750.215+224.759*Laskuri!$B$13-1.873*Laskuri!$B$13^2</f>
        <v>1827.1849999999997</v>
      </c>
      <c r="D24" s="10">
        <f>Työkaluvälilehti!$B$10*(A24-A23)*Työkaluvälilehti!$B$2</f>
        <v>2510.2560000000003</v>
      </c>
      <c r="E24" s="10">
        <f>D24-B24-C24</f>
        <v>241.87100000000078</v>
      </c>
      <c r="F24" s="10">
        <f>B24/(1+$B$1)^$A24+C24/(1+$B$1)^$A24</f>
        <v>1993.1450602505893</v>
      </c>
      <c r="G24" s="10">
        <f t="shared" si="7"/>
        <v>2205.6680617992115</v>
      </c>
      <c r="H24" s="10">
        <f t="shared" si="11"/>
        <v>212.52300154862223</v>
      </c>
      <c r="I24" s="10"/>
      <c r="K24" s="10">
        <f t="shared" si="10"/>
        <v>212.52300154862243</v>
      </c>
      <c r="L24" s="10"/>
      <c r="M24" s="10"/>
      <c r="N24" s="10"/>
      <c r="O24" s="10"/>
      <c r="P24" s="10"/>
      <c r="Q24" s="10"/>
      <c r="R24" s="10"/>
    </row>
    <row r="25" spans="1:18" x14ac:dyDescent="0.25">
      <c r="A25" s="6">
        <v>17</v>
      </c>
      <c r="B25" s="6">
        <v>441.2</v>
      </c>
      <c r="C25" s="6">
        <f>750.215+224.759*Laskuri!$B$13-1.873*Laskuri!$B$13^2</f>
        <v>1827.1849999999997</v>
      </c>
      <c r="D25" s="10">
        <f>Työkaluvälilehti!$B$10*(A25-A24)*Työkaluvälilehti!$B$2</f>
        <v>2510.2560000000003</v>
      </c>
      <c r="E25" s="10">
        <f t="shared" si="8"/>
        <v>241.87100000000078</v>
      </c>
      <c r="F25" s="10">
        <f t="shared" si="9"/>
        <v>1915.3732266038346</v>
      </c>
      <c r="G25" s="10">
        <f t="shared" si="7"/>
        <v>2119.6036538425515</v>
      </c>
      <c r="H25" s="10">
        <f t="shared" si="11"/>
        <v>204.23042723871686</v>
      </c>
      <c r="I25" s="10"/>
      <c r="K25" s="10">
        <f t="shared" si="10"/>
        <v>204.23042723871725</v>
      </c>
      <c r="L25" s="10"/>
      <c r="M25" s="10"/>
      <c r="N25" s="10"/>
      <c r="O25" s="10"/>
      <c r="P25" s="10"/>
      <c r="Q25" s="10"/>
      <c r="R25" s="10"/>
    </row>
    <row r="26" spans="1:18" x14ac:dyDescent="0.25">
      <c r="A26" s="6">
        <v>21</v>
      </c>
      <c r="B26" s="10">
        <v>59</v>
      </c>
      <c r="C26" s="6">
        <f>750.215+224.759*Laskuri!$B$13-1.873*Laskuri!$B$13^2</f>
        <v>1827.1849999999997</v>
      </c>
      <c r="D26" s="10">
        <f>Työkaluvälilehti!$B$10*(A26-A25)*Työkaluvälilehti!$B$2</f>
        <v>2510.2560000000003</v>
      </c>
      <c r="E26" s="10">
        <f t="shared" si="8"/>
        <v>624.07100000000059</v>
      </c>
      <c r="F26" s="10">
        <f t="shared" si="9"/>
        <v>1530.5074126565855</v>
      </c>
      <c r="G26" s="10">
        <f t="shared" si="7"/>
        <v>2036.8974494366519</v>
      </c>
      <c r="H26" s="10">
        <f t="shared" si="11"/>
        <v>506.39003678006634</v>
      </c>
      <c r="I26" s="10"/>
      <c r="K26" s="10">
        <f t="shared" si="10"/>
        <v>506.39003678006617</v>
      </c>
      <c r="L26" s="10"/>
      <c r="M26" s="10"/>
      <c r="N26" s="10"/>
      <c r="O26" s="10"/>
      <c r="P26" s="10"/>
      <c r="Q26" s="10"/>
      <c r="R26" s="10"/>
    </row>
    <row r="27" spans="1:18" x14ac:dyDescent="0.25">
      <c r="A27" s="6">
        <v>22</v>
      </c>
      <c r="B27" s="10">
        <v>400.56279999999998</v>
      </c>
      <c r="C27" s="6">
        <v>0</v>
      </c>
      <c r="D27" s="10">
        <v>0</v>
      </c>
      <c r="E27" s="10">
        <f t="shared" si="8"/>
        <v>-400.56279999999998</v>
      </c>
      <c r="F27" s="10">
        <f t="shared" si="9"/>
        <v>321.81063401904123</v>
      </c>
      <c r="G27" s="10">
        <f t="shared" si="7"/>
        <v>0</v>
      </c>
      <c r="H27" s="10">
        <f>G27-F27</f>
        <v>-321.81063401904123</v>
      </c>
      <c r="I27" s="10"/>
      <c r="K27" s="10">
        <f t="shared" si="10"/>
        <v>-321.81063401904123</v>
      </c>
      <c r="L27" s="10"/>
      <c r="M27" s="10"/>
      <c r="N27" s="10"/>
      <c r="O27" s="10"/>
      <c r="P27" s="10"/>
      <c r="Q27" s="10"/>
      <c r="R27" s="10"/>
    </row>
    <row r="28" spans="1:18" x14ac:dyDescent="0.25">
      <c r="A28" s="6" t="s">
        <v>103</v>
      </c>
      <c r="B28" s="10" t="s">
        <v>96</v>
      </c>
      <c r="C28" s="6" t="s">
        <v>97</v>
      </c>
      <c r="D28" s="10" t="s">
        <v>98</v>
      </c>
      <c r="E28" s="10" t="s">
        <v>99</v>
      </c>
      <c r="F28" s="10" t="s">
        <v>100</v>
      </c>
      <c r="G28" s="10" t="s">
        <v>101</v>
      </c>
      <c r="H28" s="10" t="s">
        <v>102</v>
      </c>
      <c r="I28" s="10" t="s">
        <v>83</v>
      </c>
      <c r="K28" s="10"/>
      <c r="L28" s="10"/>
      <c r="M28" s="10"/>
      <c r="N28" s="10"/>
      <c r="O28" s="10"/>
      <c r="P28" s="10"/>
      <c r="Q28" s="10"/>
      <c r="R28" s="10"/>
    </row>
    <row r="29" spans="1:18" x14ac:dyDescent="0.25">
      <c r="B29" s="10">
        <f>SUM(B20:B27)</f>
        <v>5251.862799999999</v>
      </c>
      <c r="C29" s="10">
        <f>SUM(C20:C27)</f>
        <v>9135.9249999999993</v>
      </c>
      <c r="D29" s="10">
        <f>SUM(D20:D27)</f>
        <v>12551.280000000002</v>
      </c>
      <c r="E29" s="10">
        <f t="shared" ref="E29" si="12">SUM(E20:E27)</f>
        <v>-1836.5077999999953</v>
      </c>
      <c r="F29" s="10">
        <f>SUM(F20:F27)</f>
        <v>13017.53166853024</v>
      </c>
      <c r="G29" s="10">
        <f t="shared" ref="G29" si="13">SUM(G20:G27)</f>
        <v>11045.818646024571</v>
      </c>
      <c r="H29" s="10">
        <f>SUM(H20:H27)</f>
        <v>-1971.7130225056717</v>
      </c>
      <c r="I29" s="10">
        <f>H29/(1-(1/(1+$B$1))^(A27))</f>
        <v>-10028.865609642988</v>
      </c>
      <c r="K29" s="10">
        <f>SUM(K20:K27)</f>
        <v>-1971.7130225056712</v>
      </c>
      <c r="L29" s="10"/>
      <c r="M29" s="10"/>
      <c r="N29" s="10"/>
      <c r="O29" s="10"/>
      <c r="P29" s="10"/>
      <c r="Q29" s="10"/>
      <c r="R29" s="10"/>
    </row>
    <row r="30" spans="1:18" x14ac:dyDescent="0.25">
      <c r="B30" s="10" t="s">
        <v>104</v>
      </c>
      <c r="C30" s="10">
        <v>1436.0586439748142</v>
      </c>
      <c r="D30" s="10"/>
      <c r="E30" s="10"/>
      <c r="F30" s="10"/>
      <c r="G30" s="10"/>
      <c r="H30" s="10"/>
      <c r="L30" s="10"/>
      <c r="M30" s="10"/>
      <c r="N30" s="10"/>
      <c r="O30" s="10"/>
      <c r="P30" s="10"/>
      <c r="Q30" s="10"/>
      <c r="R30" s="10"/>
    </row>
    <row r="31" spans="1:18" x14ac:dyDescent="0.25">
      <c r="A31" s="6" t="s">
        <v>106</v>
      </c>
      <c r="B31" s="10"/>
      <c r="C31" s="10"/>
      <c r="D31" s="10"/>
      <c r="E31" s="10"/>
      <c r="F31" s="10"/>
      <c r="G31" s="10"/>
      <c r="H31" s="10"/>
      <c r="L31" s="10"/>
      <c r="M31" s="10"/>
      <c r="N31" s="10"/>
      <c r="O31" s="10"/>
      <c r="P31" s="10"/>
      <c r="Q31" s="10"/>
      <c r="R31" s="10"/>
    </row>
    <row r="32" spans="1:18" x14ac:dyDescent="0.25">
      <c r="A32" s="6" t="s">
        <v>78</v>
      </c>
      <c r="B32" s="10" t="s">
        <v>107</v>
      </c>
      <c r="C32" s="10" t="s">
        <v>98</v>
      </c>
      <c r="D32" s="10" t="s">
        <v>99</v>
      </c>
      <c r="E32" s="10" t="s">
        <v>100</v>
      </c>
      <c r="F32" s="10" t="s">
        <v>101</v>
      </c>
      <c r="G32" s="10" t="s">
        <v>102</v>
      </c>
      <c r="H32" s="10"/>
      <c r="L32" s="10"/>
      <c r="M32" s="10"/>
      <c r="N32" s="10"/>
      <c r="O32" s="10"/>
      <c r="P32" s="10"/>
      <c r="Q32" s="10"/>
      <c r="R32" s="10"/>
    </row>
    <row r="33" spans="1:18" x14ac:dyDescent="0.25">
      <c r="A33" s="6">
        <v>0</v>
      </c>
      <c r="B33" s="10">
        <v>370</v>
      </c>
      <c r="C33" s="10">
        <v>0</v>
      </c>
      <c r="D33" s="10">
        <f>C33-B33</f>
        <v>-370</v>
      </c>
      <c r="E33" s="10">
        <f>B33/(1+$B$1)^$A33</f>
        <v>370</v>
      </c>
      <c r="F33" s="10">
        <f>C33/(1+$B$1)^$A33</f>
        <v>0</v>
      </c>
      <c r="G33" s="10">
        <f>F33-E33</f>
        <v>-370</v>
      </c>
      <c r="H33" s="10"/>
      <c r="L33" s="10"/>
      <c r="M33" s="10"/>
      <c r="N33" s="10"/>
      <c r="O33" s="10"/>
      <c r="P33" s="10"/>
      <c r="Q33" s="10"/>
      <c r="R33" s="10"/>
    </row>
    <row r="34" spans="1:18" x14ac:dyDescent="0.25">
      <c r="A34" s="6">
        <v>22</v>
      </c>
      <c r="B34" s="10">
        <v>4633.3675838602585</v>
      </c>
      <c r="C34" s="10" t="e">
        <f>Työkaluvälilehti!$B$2*('1 % korko'!A34-'1 % korko'!A33)*Työkaluvälilehti!$B$11</f>
        <v>#REF!</v>
      </c>
      <c r="D34" s="10" t="e">
        <f t="shared" ref="D34:D36" si="14">C34-B34</f>
        <v>#REF!</v>
      </c>
      <c r="E34" s="10">
        <f>B34/(1+$B$1)^$A34</f>
        <v>3722.4299405869515</v>
      </c>
      <c r="F34" s="10" t="e">
        <f t="shared" ref="F34:F36" si="15">C34/(1+$B$1)^$A34</f>
        <v>#REF!</v>
      </c>
      <c r="G34" s="10" t="e">
        <f>F34-E34</f>
        <v>#REF!</v>
      </c>
      <c r="H34" s="10"/>
      <c r="L34" s="10"/>
      <c r="M34" s="10"/>
      <c r="N34" s="10"/>
      <c r="O34" s="10"/>
      <c r="P34" s="10"/>
      <c r="Q34" s="10"/>
      <c r="R34" s="10"/>
    </row>
    <row r="35" spans="1:18" x14ac:dyDescent="0.25">
      <c r="A35" s="6">
        <v>43</v>
      </c>
      <c r="B35" s="10">
        <v>4633.3675838602585</v>
      </c>
      <c r="C35" s="10" t="e">
        <f>Työkaluvälilehti!$B$2*('1 % korko'!A35-'1 % korko'!A34)*Työkaluvälilehti!$B$11</f>
        <v>#REF!</v>
      </c>
      <c r="D35" s="10" t="e">
        <f t="shared" si="14"/>
        <v>#REF!</v>
      </c>
      <c r="E35" s="10">
        <f t="shared" ref="E35:E36" si="16">B35/(1+$B$1)^$A35</f>
        <v>3020.4919544812115</v>
      </c>
      <c r="F35" s="10" t="e">
        <f t="shared" si="15"/>
        <v>#REF!</v>
      </c>
      <c r="G35" s="10" t="e">
        <f t="shared" ref="G35:G36" si="17">F35-E35</f>
        <v>#REF!</v>
      </c>
      <c r="H35" s="10"/>
      <c r="L35" s="10"/>
      <c r="M35" s="10"/>
      <c r="N35" s="10"/>
      <c r="O35" s="10"/>
      <c r="P35" s="10"/>
      <c r="Q35" s="10"/>
      <c r="R35" s="10"/>
    </row>
    <row r="36" spans="1:18" x14ac:dyDescent="0.25">
      <c r="A36" s="6">
        <v>64</v>
      </c>
      <c r="B36" s="10">
        <v>5114.3867476233245</v>
      </c>
      <c r="C36" s="10" t="e">
        <f>Työkaluvälilehti!$B$2*('1 % korko'!A36-'1 % korko'!A35)*Työkaluvälilehti!$B$11</f>
        <v>#REF!</v>
      </c>
      <c r="D36" s="10" t="e">
        <f t="shared" si="14"/>
        <v>#REF!</v>
      </c>
      <c r="E36" s="10">
        <f t="shared" si="16"/>
        <v>2705.3636099157702</v>
      </c>
      <c r="F36" s="10" t="e">
        <f t="shared" si="15"/>
        <v>#REF!</v>
      </c>
      <c r="G36" s="10" t="e">
        <f t="shared" si="17"/>
        <v>#REF!</v>
      </c>
      <c r="H36" s="10"/>
      <c r="L36" s="10"/>
      <c r="M36" s="10"/>
      <c r="N36" s="10"/>
      <c r="O36" s="10"/>
      <c r="P36" s="10"/>
      <c r="Q36" s="10"/>
      <c r="R36" s="10"/>
    </row>
    <row r="37" spans="1:18" x14ac:dyDescent="0.25">
      <c r="A37" s="6">
        <v>86</v>
      </c>
      <c r="B37" s="10">
        <v>4633.3675838602585</v>
      </c>
      <c r="C37" s="10" t="e">
        <f>Työkaluvälilehti!$B$2*('1 % korko'!A37-'1 % korko'!A36)*Työkaluvälilehti!$B$11</f>
        <v>#REF!</v>
      </c>
      <c r="D37" s="10" t="e">
        <f>C37-B37</f>
        <v>#REF!</v>
      </c>
      <c r="E37" s="10">
        <f>B37/(1+$B$1)^$A37</f>
        <v>1969.0584616825613</v>
      </c>
      <c r="F37" s="10" t="e">
        <f>C37/(1+$B$1)^$A37</f>
        <v>#REF!</v>
      </c>
      <c r="G37" s="10" t="e">
        <f>F37-E37</f>
        <v>#REF!</v>
      </c>
      <c r="H37" s="10"/>
      <c r="L37" s="10"/>
      <c r="M37" s="10"/>
      <c r="N37" s="10"/>
      <c r="O37" s="10"/>
      <c r="P37" s="10"/>
      <c r="Q37" s="10"/>
      <c r="R37" s="10"/>
    </row>
    <row r="38" spans="1:18" x14ac:dyDescent="0.25">
      <c r="A38" s="6" t="s">
        <v>103</v>
      </c>
      <c r="B38" s="10" t="s">
        <v>107</v>
      </c>
      <c r="C38" s="10" t="s">
        <v>98</v>
      </c>
      <c r="D38" s="10" t="s">
        <v>99</v>
      </c>
      <c r="E38" s="10" t="s">
        <v>100</v>
      </c>
      <c r="F38" s="10" t="s">
        <v>101</v>
      </c>
      <c r="G38" s="10" t="s">
        <v>102</v>
      </c>
      <c r="H38" s="10" t="s">
        <v>83</v>
      </c>
      <c r="L38" s="10"/>
      <c r="M38" s="10"/>
      <c r="N38" s="10"/>
      <c r="O38" s="10"/>
      <c r="P38" s="10"/>
      <c r="Q38" s="10"/>
      <c r="R38" s="10"/>
    </row>
    <row r="39" spans="1:18" x14ac:dyDescent="0.25">
      <c r="B39" s="10">
        <f t="shared" ref="B39:G39" si="18">SUM(B33:B37)</f>
        <v>19384.489499204101</v>
      </c>
      <c r="C39" s="10" t="e">
        <f t="shared" si="18"/>
        <v>#REF!</v>
      </c>
      <c r="D39" s="10" t="e">
        <f t="shared" si="18"/>
        <v>#REF!</v>
      </c>
      <c r="E39" s="10">
        <f t="shared" si="18"/>
        <v>11787.343966666494</v>
      </c>
      <c r="F39" s="10" t="e">
        <f t="shared" si="18"/>
        <v>#REF!</v>
      </c>
      <c r="G39" s="10" t="e">
        <f t="shared" si="18"/>
        <v>#REF!</v>
      </c>
      <c r="H39" s="10" t="e">
        <f>G33+G34+G35+G36+G37/(1-EXP(-$B$1*A37))</f>
        <v>#REF!</v>
      </c>
      <c r="L39" s="10"/>
      <c r="M39" s="10"/>
      <c r="N39" s="10"/>
      <c r="O39" s="10"/>
      <c r="P39" s="10"/>
      <c r="Q39" s="10"/>
      <c r="R39" s="10"/>
    </row>
    <row r="40" spans="1:18" x14ac:dyDescent="0.25">
      <c r="B40" s="10"/>
      <c r="C40" s="10"/>
      <c r="D40" s="10"/>
      <c r="E40" s="10"/>
      <c r="F40" s="10"/>
      <c r="G40" s="10"/>
      <c r="H40" s="10"/>
      <c r="L40" s="10"/>
      <c r="M40" s="10"/>
      <c r="N40" s="10"/>
      <c r="O40" s="10"/>
      <c r="P40" s="10"/>
      <c r="Q40" s="10"/>
      <c r="R40" s="10"/>
    </row>
    <row r="41" spans="1:18" x14ac:dyDescent="0.25">
      <c r="B41" s="10"/>
      <c r="C41" s="10"/>
      <c r="D41" s="10"/>
      <c r="E41" s="10"/>
      <c r="F41" s="10"/>
      <c r="G41" s="10"/>
      <c r="H41" s="10"/>
      <c r="L41" s="10"/>
      <c r="M41" s="10"/>
      <c r="N41" s="10"/>
      <c r="O41" s="10"/>
      <c r="P41" s="10"/>
      <c r="Q41" s="10"/>
      <c r="R41" s="10"/>
    </row>
    <row r="42" spans="1:18" x14ac:dyDescent="0.25">
      <c r="B42" s="10" t="s">
        <v>104</v>
      </c>
      <c r="C42" s="10">
        <v>2803.0909820774596</v>
      </c>
      <c r="D42" s="10"/>
      <c r="E42" s="10"/>
      <c r="F42" s="10"/>
      <c r="G42" s="10"/>
      <c r="H42" s="10"/>
      <c r="L42" s="10"/>
      <c r="M42" s="10"/>
      <c r="N42" s="10"/>
      <c r="O42" s="10"/>
      <c r="P42" s="10"/>
      <c r="Q42" s="10"/>
      <c r="R42" s="10"/>
    </row>
    <row r="43" spans="1:18" x14ac:dyDescent="0.25">
      <c r="A43" s="1" t="s">
        <v>126</v>
      </c>
      <c r="B43" s="10"/>
      <c r="C43" s="10"/>
      <c r="D43" s="10"/>
      <c r="E43" s="10"/>
      <c r="F43" s="10"/>
      <c r="G43" s="10"/>
      <c r="H43" s="10"/>
      <c r="L43" s="10"/>
      <c r="M43" s="10"/>
      <c r="N43" s="10"/>
      <c r="O43" s="10"/>
      <c r="P43" s="10"/>
      <c r="Q43" s="10"/>
      <c r="R43" s="10"/>
    </row>
    <row r="44" spans="1:18" x14ac:dyDescent="0.25">
      <c r="A44" s="6" t="s">
        <v>78</v>
      </c>
      <c r="B44" s="10" t="s">
        <v>107</v>
      </c>
      <c r="C44" s="10" t="s">
        <v>98</v>
      </c>
      <c r="D44" s="10" t="s">
        <v>99</v>
      </c>
      <c r="E44" s="10" t="s">
        <v>100</v>
      </c>
      <c r="F44" s="10" t="s">
        <v>101</v>
      </c>
      <c r="G44" s="10" t="s">
        <v>102</v>
      </c>
      <c r="H44" s="10"/>
      <c r="L44" s="10"/>
      <c r="M44" s="10"/>
      <c r="N44" s="10"/>
      <c r="O44" s="10"/>
      <c r="P44" s="10"/>
      <c r="Q44" s="10"/>
      <c r="R44" s="10"/>
    </row>
    <row r="45" spans="1:18" x14ac:dyDescent="0.25">
      <c r="A45" s="6">
        <v>0</v>
      </c>
      <c r="B45" s="10">
        <v>1241.0517070707067</v>
      </c>
      <c r="C45" s="10">
        <v>0</v>
      </c>
      <c r="D45" s="10">
        <f>C45-B45</f>
        <v>-1241.0517070707067</v>
      </c>
      <c r="E45" s="10">
        <f>B45/(1+$B$1)^$A45</f>
        <v>1241.0517070707067</v>
      </c>
      <c r="F45" s="10">
        <f>C45/(1+$B$1)^$A45</f>
        <v>0</v>
      </c>
      <c r="G45" s="10">
        <f>F45-E45</f>
        <v>-1241.0517070707067</v>
      </c>
      <c r="H45" s="10"/>
      <c r="L45" s="10"/>
      <c r="M45" s="10"/>
      <c r="N45" s="10"/>
      <c r="O45" s="10"/>
      <c r="P45" s="10"/>
      <c r="Q45" s="10"/>
      <c r="R45" s="10"/>
    </row>
    <row r="46" spans="1:18" x14ac:dyDescent="0.25">
      <c r="A46" s="6">
        <v>1</v>
      </c>
      <c r="B46" s="10">
        <v>88.968222222222209</v>
      </c>
      <c r="C46" s="10">
        <v>0</v>
      </c>
      <c r="D46" s="10">
        <f t="shared" ref="D46:D48" si="19">C46-B46</f>
        <v>-88.968222222222209</v>
      </c>
      <c r="E46" s="10">
        <f>B46/(1+$B$1)^$A46</f>
        <v>88.087348734873473</v>
      </c>
      <c r="F46" s="10">
        <f t="shared" ref="F46:F48" si="20">C46/(1+$B$1)^$A46</f>
        <v>0</v>
      </c>
      <c r="G46" s="10">
        <f>F46-E46</f>
        <v>-88.087348734873473</v>
      </c>
      <c r="H46" s="10"/>
      <c r="L46" s="10"/>
      <c r="M46" s="10"/>
      <c r="N46" s="10"/>
      <c r="O46" s="10"/>
      <c r="P46" s="10"/>
      <c r="Q46" s="10"/>
      <c r="R46" s="10"/>
    </row>
    <row r="47" spans="1:18" x14ac:dyDescent="0.25">
      <c r="A47" s="6">
        <v>2</v>
      </c>
      <c r="B47" s="10">
        <v>742.82444444444434</v>
      </c>
      <c r="C47" s="10">
        <f>Työkaluvälilehti!$B$12*(A47-A46)*Työkaluvälilehti!$B$7</f>
        <v>1236</v>
      </c>
      <c r="D47" s="10">
        <f t="shared" si="19"/>
        <v>493.17555555555566</v>
      </c>
      <c r="E47" s="10">
        <f t="shared" ref="E47:F54" si="21">B47/(1+$B$1)^$A47</f>
        <v>728.18786829177952</v>
      </c>
      <c r="F47" s="10">
        <f t="shared" si="20"/>
        <v>1211.6459170669543</v>
      </c>
      <c r="G47" s="10">
        <f t="shared" ref="G47:G48" si="22">F47-E47</f>
        <v>483.4580487751748</v>
      </c>
      <c r="H47" s="10"/>
      <c r="L47" s="10"/>
      <c r="M47" s="10"/>
      <c r="N47" s="10"/>
      <c r="O47" s="10"/>
      <c r="P47" s="10"/>
      <c r="Q47" s="10"/>
      <c r="R47" s="10"/>
    </row>
    <row r="48" spans="1:18" x14ac:dyDescent="0.25">
      <c r="A48" s="6">
        <v>3</v>
      </c>
      <c r="B48" s="10">
        <v>742.82444444444434</v>
      </c>
      <c r="C48" s="10">
        <f>Työkaluvälilehti!$B$12*(A48-A47)*Työkaluvälilehti!$B$7</f>
        <v>1236</v>
      </c>
      <c r="D48" s="10">
        <f t="shared" si="19"/>
        <v>493.17555555555566</v>
      </c>
      <c r="E48" s="10">
        <f t="shared" si="21"/>
        <v>720.97808741760355</v>
      </c>
      <c r="F48" s="10">
        <f t="shared" si="20"/>
        <v>1199.6494228385686</v>
      </c>
      <c r="G48" s="10">
        <f t="shared" si="22"/>
        <v>478.67133542096508</v>
      </c>
      <c r="H48" s="10"/>
      <c r="L48" s="10"/>
      <c r="M48" s="10"/>
      <c r="N48" s="10"/>
      <c r="O48" s="10"/>
      <c r="P48" s="10"/>
      <c r="Q48" s="10"/>
      <c r="R48" s="10"/>
    </row>
    <row r="49" spans="1:18" x14ac:dyDescent="0.25">
      <c r="A49" s="6">
        <v>4</v>
      </c>
      <c r="B49" s="10">
        <v>742.82444444444434</v>
      </c>
      <c r="C49" s="10">
        <f>Työkaluvälilehti!$B$12*(A49-A48)*Työkaluvälilehti!$B$7</f>
        <v>1236</v>
      </c>
      <c r="D49" s="10">
        <f>C49-B49</f>
        <v>493.17555555555566</v>
      </c>
      <c r="E49" s="10">
        <f t="shared" si="21"/>
        <v>713.83969051247868</v>
      </c>
      <c r="F49" s="10">
        <f t="shared" si="21"/>
        <v>1187.7717057807608</v>
      </c>
      <c r="G49" s="10">
        <f>F49-E49</f>
        <v>473.93201526828216</v>
      </c>
      <c r="H49" s="10"/>
      <c r="L49" s="10"/>
      <c r="M49" s="10"/>
      <c r="N49" s="10"/>
      <c r="O49" s="10"/>
      <c r="P49" s="10"/>
      <c r="Q49" s="10"/>
      <c r="R49" s="10"/>
    </row>
    <row r="50" spans="1:18" x14ac:dyDescent="0.25">
      <c r="A50" s="6">
        <v>5</v>
      </c>
      <c r="B50" s="10">
        <v>742.82444444444434</v>
      </c>
      <c r="C50" s="10">
        <f>Työkaluvälilehti!$B$12*(A50-A49)*Työkaluvälilehti!$B$7</f>
        <v>1236</v>
      </c>
      <c r="D50" s="10">
        <f>C50-B50</f>
        <v>493.17555555555566</v>
      </c>
      <c r="E50" s="10">
        <f t="shared" si="21"/>
        <v>706.77197080443443</v>
      </c>
      <c r="F50" s="10">
        <f t="shared" si="21"/>
        <v>1176.0115898819415</v>
      </c>
      <c r="G50" s="10">
        <f>F50-E50</f>
        <v>469.23961907750709</v>
      </c>
      <c r="H50" s="10"/>
      <c r="L50" s="10"/>
      <c r="M50" s="10"/>
      <c r="N50" s="10"/>
      <c r="O50" s="10"/>
      <c r="P50" s="10"/>
      <c r="Q50" s="10"/>
      <c r="R50" s="10"/>
    </row>
    <row r="51" spans="1:18" x14ac:dyDescent="0.25">
      <c r="A51" s="6">
        <v>6</v>
      </c>
      <c r="B51" s="10">
        <v>742.82444444444434</v>
      </c>
      <c r="C51" s="10">
        <f>Työkaluvälilehti!$B$12*(A51-A50)*Työkaluvälilehti!$B$7</f>
        <v>1236</v>
      </c>
      <c r="D51" s="10">
        <f>C51-B51</f>
        <v>493.17555555555566</v>
      </c>
      <c r="E51" s="10">
        <f t="shared" si="21"/>
        <v>699.77422851924189</v>
      </c>
      <c r="F51" s="10">
        <f t="shared" si="21"/>
        <v>1164.3679107741993</v>
      </c>
      <c r="G51" s="10">
        <f>F51-E51</f>
        <v>464.59368225495746</v>
      </c>
      <c r="H51" s="10"/>
      <c r="L51" s="10"/>
      <c r="M51" s="10"/>
      <c r="N51" s="10"/>
      <c r="O51" s="10"/>
      <c r="P51" s="10"/>
      <c r="Q51" s="10"/>
      <c r="R51" s="10"/>
    </row>
    <row r="52" spans="1:18" x14ac:dyDescent="0.25">
      <c r="A52" s="6">
        <v>7</v>
      </c>
      <c r="B52" s="10">
        <v>742.82444444444434</v>
      </c>
      <c r="C52" s="10">
        <f>Työkaluvälilehti!$B$12*(A52-A51)*Työkaluvälilehti!$B$7</f>
        <v>1236</v>
      </c>
      <c r="D52" s="10">
        <f t="shared" ref="D52:D53" si="23">C52-B52</f>
        <v>493.17555555555566</v>
      </c>
      <c r="E52" s="10">
        <f>B52/(1+$B$1)^$A52</f>
        <v>692.84577081113082</v>
      </c>
      <c r="F52" s="10">
        <f t="shared" si="21"/>
        <v>1152.8395156180195</v>
      </c>
      <c r="G52" s="10">
        <f>F52-E52</f>
        <v>459.99374480688869</v>
      </c>
      <c r="H52" s="10"/>
      <c r="L52" s="10"/>
      <c r="M52" s="10"/>
      <c r="N52" s="10"/>
      <c r="O52" s="10"/>
      <c r="P52" s="10"/>
      <c r="Q52" s="10"/>
      <c r="R52" s="10"/>
    </row>
    <row r="53" spans="1:18" x14ac:dyDescent="0.25">
      <c r="A53" s="6">
        <v>8</v>
      </c>
      <c r="B53" s="10">
        <v>742.82444444444434</v>
      </c>
      <c r="C53" s="10">
        <f>Työkaluvälilehti!$B$12*(A53-A52)*Työkaluvälilehti!$B$7</f>
        <v>1236</v>
      </c>
      <c r="D53" s="10">
        <f t="shared" si="23"/>
        <v>493.17555555555566</v>
      </c>
      <c r="E53" s="10">
        <f t="shared" ref="E53" si="24">B53/(1+$B$1)^$A53</f>
        <v>685.98591169418876</v>
      </c>
      <c r="F53" s="10">
        <f t="shared" si="21"/>
        <v>1141.4252629881378</v>
      </c>
      <c r="G53" s="10">
        <f t="shared" ref="G53:G54" si="25">F53-E53</f>
        <v>455.43935129394902</v>
      </c>
      <c r="H53" s="10"/>
      <c r="L53" s="10"/>
      <c r="M53" s="10"/>
      <c r="N53" s="10"/>
      <c r="O53" s="10"/>
      <c r="P53" s="10"/>
      <c r="Q53" s="10"/>
      <c r="R53" s="10"/>
    </row>
    <row r="54" spans="1:18" x14ac:dyDescent="0.25">
      <c r="A54" s="6">
        <v>9</v>
      </c>
      <c r="B54" s="10">
        <v>742.82444444444434</v>
      </c>
      <c r="C54" s="10">
        <f>Työkaluvälilehti!$B$12*(A54-A53)*Työkaluvälilehti!$B$7</f>
        <v>1236</v>
      </c>
      <c r="D54" s="10">
        <f>C54-B54</f>
        <v>493.17555555555566</v>
      </c>
      <c r="E54" s="10">
        <f>B54/(1+$B$1)^$A54</f>
        <v>679.19397197444425</v>
      </c>
      <c r="F54" s="10">
        <f t="shared" si="21"/>
        <v>1130.1240227605324</v>
      </c>
      <c r="G54" s="10">
        <f t="shared" si="25"/>
        <v>450.93005078608815</v>
      </c>
      <c r="H54" s="10"/>
      <c r="L54" s="10"/>
      <c r="M54" s="10"/>
      <c r="N54" s="10"/>
      <c r="O54" s="10"/>
      <c r="P54" s="10"/>
      <c r="Q54" s="10"/>
      <c r="R54" s="10"/>
    </row>
    <row r="55" spans="1:18" x14ac:dyDescent="0.25">
      <c r="A55" s="6">
        <v>10</v>
      </c>
      <c r="B55" s="10">
        <v>773.1708010335916</v>
      </c>
      <c r="C55" s="10">
        <f>Työkaluvälilehti!$B$12*(A55-A54)*Työkaluvälilehti!$B$7</f>
        <v>1236</v>
      </c>
      <c r="D55" s="10">
        <f>C55-B55</f>
        <v>462.8291989664084</v>
      </c>
      <c r="E55" s="10">
        <f>B55/(1+$B$1)^$A55</f>
        <v>699.94143992523448</v>
      </c>
      <c r="F55" s="10">
        <f>C55/(1+$B$1)^$A55</f>
        <v>1118.9346760005271</v>
      </c>
      <c r="G55" s="10">
        <f>F55-E55</f>
        <v>418.99323607529266</v>
      </c>
      <c r="H55" s="10"/>
      <c r="L55" s="10"/>
      <c r="M55" s="10"/>
      <c r="N55" s="10"/>
      <c r="O55" s="10"/>
      <c r="P55" s="10"/>
      <c r="Q55" s="10"/>
      <c r="R55" s="10"/>
    </row>
    <row r="56" spans="1:18" x14ac:dyDescent="0.25">
      <c r="A56" s="6" t="s">
        <v>103</v>
      </c>
      <c r="B56" s="10" t="s">
        <v>107</v>
      </c>
      <c r="C56" s="10" t="s">
        <v>98</v>
      </c>
      <c r="D56" s="10" t="s">
        <v>99</v>
      </c>
      <c r="E56" s="10" t="s">
        <v>100</v>
      </c>
      <c r="F56" s="10" t="s">
        <v>101</v>
      </c>
      <c r="G56" s="10" t="s">
        <v>102</v>
      </c>
      <c r="H56" s="10" t="s">
        <v>83</v>
      </c>
      <c r="L56" s="10"/>
      <c r="M56" s="10"/>
      <c r="N56" s="10"/>
      <c r="O56" s="10"/>
      <c r="P56" s="10"/>
      <c r="Q56" s="10"/>
      <c r="R56" s="10"/>
    </row>
    <row r="57" spans="1:18" x14ac:dyDescent="0.25">
      <c r="B57" s="10">
        <f>SUM(B45:B55)</f>
        <v>8045.7862858820754</v>
      </c>
      <c r="C57" s="10">
        <f t="shared" ref="C57" si="26">SUM(C45:C55)</f>
        <v>11124</v>
      </c>
      <c r="D57" s="10">
        <f>SUM(D45:D55)</f>
        <v>3078.2137141179246</v>
      </c>
      <c r="E57" s="10">
        <f>SUM(E45:E55)</f>
        <v>7656.6579957561162</v>
      </c>
      <c r="F57" s="10">
        <f>SUM(F45:F55)</f>
        <v>10482.770023709641</v>
      </c>
      <c r="G57" s="10">
        <f>SUM(G45:G55)</f>
        <v>2826.1120279535248</v>
      </c>
      <c r="H57" s="10">
        <f>G57/(1-(1/(1+$B$1))^(A55))</f>
        <v>29838.677647757442</v>
      </c>
      <c r="L57" s="10"/>
      <c r="M57" s="10"/>
      <c r="N57" s="10"/>
      <c r="O57" s="10"/>
      <c r="P57" s="10"/>
      <c r="Q57" s="10"/>
      <c r="R57" s="10"/>
    </row>
    <row r="58" spans="1:18" x14ac:dyDescent="0.25">
      <c r="B58" s="10" t="s">
        <v>104</v>
      </c>
      <c r="C58" s="10">
        <v>1641.4215478428662</v>
      </c>
      <c r="D58" s="10"/>
      <c r="E58" s="10"/>
      <c r="F58" s="10"/>
      <c r="G58" s="10"/>
      <c r="H58" s="10"/>
      <c r="L58" s="10"/>
      <c r="M58" s="10"/>
      <c r="N58" s="10"/>
      <c r="O58" s="10"/>
      <c r="P58" s="10"/>
      <c r="Q58" s="10"/>
      <c r="R58" s="10"/>
    </row>
    <row r="59" spans="1:18" x14ac:dyDescent="0.25">
      <c r="A59" s="1" t="s">
        <v>127</v>
      </c>
      <c r="B59" s="10"/>
      <c r="C59" s="10"/>
      <c r="D59" s="10"/>
      <c r="E59" s="10"/>
      <c r="F59" s="10"/>
      <c r="G59" s="10"/>
      <c r="H59" s="10"/>
      <c r="L59" s="10"/>
      <c r="M59" s="10"/>
      <c r="N59" s="10"/>
      <c r="O59" s="10"/>
      <c r="P59" s="10"/>
      <c r="Q59" s="10"/>
      <c r="R59" s="10"/>
    </row>
    <row r="60" spans="1:18" x14ac:dyDescent="0.25">
      <c r="A60" s="6" t="s">
        <v>78</v>
      </c>
      <c r="B60" s="10" t="s">
        <v>107</v>
      </c>
      <c r="C60" s="10" t="s">
        <v>98</v>
      </c>
      <c r="D60" s="10" t="s">
        <v>99</v>
      </c>
      <c r="E60" s="10" t="s">
        <v>100</v>
      </c>
      <c r="F60" s="10" t="s">
        <v>101</v>
      </c>
      <c r="G60" s="10" t="s">
        <v>102</v>
      </c>
      <c r="H60" s="10"/>
      <c r="L60" s="10"/>
      <c r="M60" s="10"/>
      <c r="N60" s="10"/>
      <c r="O60" s="10"/>
      <c r="P60" s="10"/>
      <c r="Q60" s="10"/>
      <c r="R60" s="10"/>
    </row>
    <row r="61" spans="1:18" x14ac:dyDescent="0.25">
      <c r="A61" s="6">
        <v>0</v>
      </c>
      <c r="B61" s="10">
        <v>1757.8130404040403</v>
      </c>
      <c r="C61" s="10">
        <v>0</v>
      </c>
      <c r="D61" s="10">
        <f>C61-B61</f>
        <v>-1757.8130404040403</v>
      </c>
      <c r="E61" s="10">
        <f>B61/(1+$B$1)^$A61</f>
        <v>1757.8130404040403</v>
      </c>
      <c r="F61" s="10">
        <f>C61/(1+$B$1)^$A61</f>
        <v>0</v>
      </c>
      <c r="G61" s="10">
        <f>F61-E61</f>
        <v>-1757.8130404040403</v>
      </c>
      <c r="H61" s="10"/>
      <c r="L61" s="10"/>
      <c r="M61" s="10"/>
      <c r="N61" s="10"/>
      <c r="O61" s="10"/>
      <c r="P61" s="10"/>
      <c r="Q61" s="10"/>
      <c r="R61" s="10"/>
    </row>
    <row r="62" spans="1:18" x14ac:dyDescent="0.25">
      <c r="A62" s="6">
        <v>1</v>
      </c>
      <c r="B62" s="10">
        <v>88.968222222222209</v>
      </c>
      <c r="C62" s="10">
        <v>0</v>
      </c>
      <c r="D62" s="10">
        <f>C62-B62</f>
        <v>-88.968222222222209</v>
      </c>
      <c r="E62" s="10">
        <f>B62/(1+$B$1)^$A62</f>
        <v>88.087348734873473</v>
      </c>
      <c r="F62" s="10">
        <f t="shared" ref="F62:F64" si="27">C62/(1+$B$1)^$A62</f>
        <v>0</v>
      </c>
      <c r="G62" s="10">
        <f>F62-E62</f>
        <v>-88.087348734873473</v>
      </c>
      <c r="H62" s="10"/>
      <c r="L62" s="10"/>
      <c r="M62" s="10"/>
      <c r="N62" s="10"/>
      <c r="O62" s="10"/>
      <c r="P62" s="10"/>
      <c r="Q62" s="10"/>
      <c r="R62" s="10"/>
    </row>
    <row r="63" spans="1:18" x14ac:dyDescent="0.25">
      <c r="A63" s="6">
        <v>2</v>
      </c>
      <c r="B63" s="10">
        <v>742.82444444444434</v>
      </c>
      <c r="C63" s="10">
        <f>Työkaluvälilehti!$B$12*(A63-A62)*Työkaluvälilehti!$B$7</f>
        <v>1236</v>
      </c>
      <c r="D63" s="10">
        <f t="shared" ref="D63:D64" si="28">C63-B63</f>
        <v>493.17555555555566</v>
      </c>
      <c r="E63" s="10">
        <f t="shared" ref="E63:F70" si="29">B63/(1+$B$1)^$A63</f>
        <v>728.18786829177952</v>
      </c>
      <c r="F63" s="10">
        <f t="shared" si="27"/>
        <v>1211.6459170669543</v>
      </c>
      <c r="G63" s="10">
        <f t="shared" ref="G63:G64" si="30">F63-E63</f>
        <v>483.4580487751748</v>
      </c>
      <c r="H63" s="10"/>
      <c r="L63" s="10"/>
      <c r="M63" s="10"/>
      <c r="N63" s="10"/>
      <c r="O63" s="10"/>
      <c r="P63" s="10"/>
      <c r="Q63" s="10"/>
      <c r="R63" s="10"/>
    </row>
    <row r="64" spans="1:18" x14ac:dyDescent="0.25">
      <c r="A64" s="6">
        <v>3</v>
      </c>
      <c r="B64" s="10">
        <v>742.82444444444434</v>
      </c>
      <c r="C64" s="10">
        <f>Työkaluvälilehti!$B$12*(A64-A63)*Työkaluvälilehti!$B$7</f>
        <v>1236</v>
      </c>
      <c r="D64" s="10">
        <f t="shared" si="28"/>
        <v>493.17555555555566</v>
      </c>
      <c r="E64" s="10">
        <f t="shared" si="29"/>
        <v>720.97808741760355</v>
      </c>
      <c r="F64" s="10">
        <f t="shared" si="27"/>
        <v>1199.6494228385686</v>
      </c>
      <c r="G64" s="10">
        <f t="shared" si="30"/>
        <v>478.67133542096508</v>
      </c>
      <c r="H64" s="10"/>
      <c r="L64" s="10"/>
      <c r="M64" s="10"/>
      <c r="N64" s="10"/>
      <c r="O64" s="10"/>
      <c r="P64" s="10"/>
      <c r="Q64" s="10"/>
      <c r="R64" s="10"/>
    </row>
    <row r="65" spans="1:18" x14ac:dyDescent="0.25">
      <c r="A65" s="6">
        <v>4</v>
      </c>
      <c r="B65" s="10">
        <v>742.82444444444434</v>
      </c>
      <c r="C65" s="10">
        <f>Työkaluvälilehti!$B$12*(A65-A64)*Työkaluvälilehti!$B$7</f>
        <v>1236</v>
      </c>
      <c r="D65" s="10">
        <f>C65-B65</f>
        <v>493.17555555555566</v>
      </c>
      <c r="E65" s="10">
        <f t="shared" si="29"/>
        <v>713.83969051247868</v>
      </c>
      <c r="F65" s="10">
        <f t="shared" si="29"/>
        <v>1187.7717057807608</v>
      </c>
      <c r="G65" s="10">
        <f>F65-E65</f>
        <v>473.93201526828216</v>
      </c>
      <c r="H65" s="10"/>
      <c r="L65" s="10"/>
      <c r="M65" s="10"/>
      <c r="N65" s="10"/>
      <c r="O65" s="10"/>
      <c r="P65" s="10"/>
      <c r="Q65" s="10"/>
      <c r="R65" s="10"/>
    </row>
    <row r="66" spans="1:18" x14ac:dyDescent="0.25">
      <c r="A66" s="6">
        <v>5</v>
      </c>
      <c r="B66" s="10">
        <v>1839.2540869156685</v>
      </c>
      <c r="C66" s="10">
        <f>Työkaluvälilehti!$B$12*(A66-A65)*Työkaluvälilehti!$B$7</f>
        <v>1236</v>
      </c>
      <c r="D66" s="10">
        <f>C66-B66</f>
        <v>-603.25408691566849</v>
      </c>
      <c r="E66" s="10">
        <f t="shared" si="29"/>
        <v>1749.9871544907396</v>
      </c>
      <c r="F66" s="10">
        <f t="shared" si="29"/>
        <v>1176.0115898819415</v>
      </c>
      <c r="G66" s="10">
        <f>F66-E66</f>
        <v>-573.97556460879809</v>
      </c>
      <c r="H66" s="10"/>
      <c r="L66" s="10"/>
      <c r="M66" s="10"/>
      <c r="N66" s="10"/>
      <c r="O66" s="10"/>
      <c r="P66" s="10"/>
      <c r="Q66" s="10"/>
      <c r="R66" s="10"/>
    </row>
    <row r="67" spans="1:18" x14ac:dyDescent="0.25">
      <c r="A67" s="6">
        <v>6</v>
      </c>
      <c r="B67" s="10">
        <v>231.00444444444449</v>
      </c>
      <c r="C67" s="10">
        <v>0</v>
      </c>
      <c r="D67" s="10">
        <f>C67-B67</f>
        <v>-231.00444444444449</v>
      </c>
      <c r="E67" s="10">
        <f t="shared" si="29"/>
        <v>217.61663621143401</v>
      </c>
      <c r="F67" s="10">
        <f t="shared" si="29"/>
        <v>0</v>
      </c>
      <c r="G67" s="10">
        <f>F67-E67</f>
        <v>-217.61663621143401</v>
      </c>
      <c r="H67" s="10"/>
      <c r="L67" s="10"/>
      <c r="M67" s="10"/>
      <c r="N67" s="10"/>
      <c r="O67" s="10"/>
      <c r="P67" s="10"/>
      <c r="Q67" s="10"/>
      <c r="R67" s="10"/>
    </row>
    <row r="68" spans="1:18" x14ac:dyDescent="0.25">
      <c r="A68" s="6">
        <v>7</v>
      </c>
      <c r="B68" s="10">
        <v>742.82444444444434</v>
      </c>
      <c r="C68" s="10">
        <f>Työkaluvälilehti!$B$12*(A68-A67)*Työkaluvälilehti!$B$7</f>
        <v>1236</v>
      </c>
      <c r="D68" s="10">
        <f t="shared" ref="D68:D69" si="31">C68-B68</f>
        <v>493.17555555555566</v>
      </c>
      <c r="E68" s="10">
        <f>B68/(1+$B$1)^$A68</f>
        <v>692.84577081113082</v>
      </c>
      <c r="F68" s="10">
        <f t="shared" si="29"/>
        <v>1152.8395156180195</v>
      </c>
      <c r="G68" s="10">
        <f>F68-E68</f>
        <v>459.99374480688869</v>
      </c>
      <c r="H68" s="10"/>
      <c r="L68" s="10"/>
      <c r="M68" s="10"/>
      <c r="N68" s="10"/>
      <c r="O68" s="10"/>
      <c r="P68" s="10"/>
      <c r="Q68" s="10"/>
      <c r="R68" s="10"/>
    </row>
    <row r="69" spans="1:18" x14ac:dyDescent="0.25">
      <c r="A69" s="6">
        <v>8</v>
      </c>
      <c r="B69" s="10">
        <v>742.82444444444434</v>
      </c>
      <c r="C69" s="10">
        <f>Työkaluvälilehti!$B$12*(A69-A68)*Työkaluvälilehti!$B$7</f>
        <v>1236</v>
      </c>
      <c r="D69" s="10">
        <f t="shared" si="31"/>
        <v>493.17555555555566</v>
      </c>
      <c r="E69" s="10">
        <f t="shared" ref="E69" si="32">B69/(1+$B$1)^$A69</f>
        <v>685.98591169418876</v>
      </c>
      <c r="F69" s="10">
        <f t="shared" si="29"/>
        <v>1141.4252629881378</v>
      </c>
      <c r="G69" s="10">
        <f t="shared" ref="G69:G70" si="33">F69-E69</f>
        <v>455.43935129394902</v>
      </c>
      <c r="H69" s="10"/>
      <c r="L69" s="10"/>
      <c r="M69" s="10"/>
      <c r="N69" s="10"/>
      <c r="O69" s="10"/>
      <c r="P69" s="10"/>
      <c r="Q69" s="10"/>
      <c r="R69" s="10"/>
    </row>
    <row r="70" spans="1:18" x14ac:dyDescent="0.25">
      <c r="A70" s="6">
        <v>9</v>
      </c>
      <c r="B70" s="10">
        <v>742.82444444444434</v>
      </c>
      <c r="C70" s="10">
        <f>Työkaluvälilehti!$B$12*(A70-A69)*Työkaluvälilehti!$B$7</f>
        <v>1236</v>
      </c>
      <c r="D70" s="10">
        <f>C70-B70</f>
        <v>493.17555555555566</v>
      </c>
      <c r="E70" s="10">
        <f>B70/(1+$B$1)^$A70</f>
        <v>679.19397197444425</v>
      </c>
      <c r="F70" s="10">
        <f t="shared" si="29"/>
        <v>1130.1240227605324</v>
      </c>
      <c r="G70" s="10">
        <f t="shared" si="33"/>
        <v>450.93005078608815</v>
      </c>
      <c r="H70" s="10"/>
      <c r="L70" s="10"/>
      <c r="M70" s="10"/>
      <c r="N70" s="10"/>
      <c r="O70" s="10"/>
      <c r="P70" s="10"/>
      <c r="Q70" s="10"/>
      <c r="R70" s="10"/>
    </row>
    <row r="71" spans="1:18" x14ac:dyDescent="0.25">
      <c r="A71" s="6">
        <v>10</v>
      </c>
      <c r="B71" s="10">
        <v>580.61937984496126</v>
      </c>
      <c r="C71" s="10">
        <f>Työkaluvälilehti!$B$12*(A71-A70)*Työkaluvälilehti!$B$7</f>
        <v>1236</v>
      </c>
      <c r="D71" s="10">
        <f>C71-B71</f>
        <v>655.38062015503874</v>
      </c>
      <c r="E71" s="10">
        <f>B71/(1+$B$1)^$A71</f>
        <v>525.62715021557335</v>
      </c>
      <c r="F71" s="10">
        <f>C71/(1+$B$1)^$A71</f>
        <v>1118.9346760005271</v>
      </c>
      <c r="G71" s="10">
        <f>F71-E71</f>
        <v>593.30752578495378</v>
      </c>
      <c r="H71" s="10"/>
      <c r="L71" s="10"/>
      <c r="M71" s="10"/>
      <c r="N71" s="10"/>
      <c r="O71" s="10"/>
      <c r="P71" s="10"/>
      <c r="Q71" s="10"/>
      <c r="R71" s="10"/>
    </row>
    <row r="72" spans="1:18" x14ac:dyDescent="0.25">
      <c r="A72" s="6" t="s">
        <v>103</v>
      </c>
      <c r="B72" s="10" t="s">
        <v>107</v>
      </c>
      <c r="C72" s="10" t="s">
        <v>98</v>
      </c>
      <c r="D72" s="10" t="s">
        <v>99</v>
      </c>
      <c r="E72" s="10" t="s">
        <v>100</v>
      </c>
      <c r="F72" s="10" t="s">
        <v>101</v>
      </c>
      <c r="G72" s="10" t="s">
        <v>102</v>
      </c>
      <c r="H72" s="10" t="s">
        <v>83</v>
      </c>
      <c r="L72" s="10"/>
      <c r="M72" s="10"/>
      <c r="N72" s="10"/>
      <c r="O72" s="10"/>
      <c r="P72" s="10"/>
      <c r="Q72" s="10"/>
      <c r="R72" s="10"/>
    </row>
    <row r="73" spans="1:18" x14ac:dyDescent="0.25">
      <c r="B73" s="10">
        <f>SUM(B61:B71)</f>
        <v>8954.6058404980031</v>
      </c>
      <c r="C73" s="10">
        <f t="shared" ref="C73:G73" si="34">SUM(C61:C71)</f>
        <v>9888</v>
      </c>
      <c r="D73" s="10">
        <f t="shared" si="34"/>
        <v>933.39415950199702</v>
      </c>
      <c r="E73" s="10">
        <f t="shared" si="34"/>
        <v>8560.1626307582865</v>
      </c>
      <c r="F73" s="10">
        <f t="shared" si="34"/>
        <v>9318.4021129354423</v>
      </c>
      <c r="G73" s="10">
        <f t="shared" si="34"/>
        <v>758.23948217715565</v>
      </c>
      <c r="H73" s="10">
        <f>G73/(1-(1/(1+$B$1))^(A71))</f>
        <v>8005.6499051348774</v>
      </c>
      <c r="L73" s="10"/>
      <c r="M73" s="10"/>
      <c r="N73" s="10"/>
      <c r="O73" s="10"/>
      <c r="P73" s="10"/>
      <c r="Q73" s="10"/>
      <c r="R73" s="10"/>
    </row>
    <row r="74" spans="1:18" x14ac:dyDescent="0.25">
      <c r="B74" s="10" t="s">
        <v>104</v>
      </c>
      <c r="C74" s="10">
        <v>1639.3209567206075</v>
      </c>
      <c r="D74" s="10"/>
      <c r="E74" s="10"/>
      <c r="F74" s="10"/>
      <c r="G74" s="10"/>
      <c r="H74" s="10"/>
      <c r="L74" s="10"/>
      <c r="M74" s="10"/>
      <c r="N74" s="10"/>
      <c r="O74" s="10"/>
      <c r="P74" s="10"/>
      <c r="Q74" s="10"/>
      <c r="R74" s="10"/>
    </row>
    <row r="75" spans="1:18" x14ac:dyDescent="0.25">
      <c r="A75" s="6" t="s">
        <v>72</v>
      </c>
      <c r="B75" s="10"/>
      <c r="C75" s="10"/>
      <c r="D75" s="10"/>
      <c r="E75" s="10"/>
      <c r="F75" s="10"/>
      <c r="G75" s="10"/>
      <c r="H75" s="10"/>
      <c r="L75" s="10"/>
      <c r="M75" s="10"/>
      <c r="N75" s="10"/>
      <c r="O75" s="10"/>
      <c r="P75" s="10"/>
      <c r="Q75" s="10"/>
      <c r="R75" s="10"/>
    </row>
    <row r="76" spans="1:18" x14ac:dyDescent="0.25">
      <c r="A76" s="6" t="s">
        <v>78</v>
      </c>
      <c r="B76" s="10" t="s">
        <v>107</v>
      </c>
      <c r="C76" s="10" t="s">
        <v>98</v>
      </c>
      <c r="D76" s="10" t="s">
        <v>99</v>
      </c>
      <c r="E76" s="10" t="s">
        <v>100</v>
      </c>
      <c r="F76" s="10" t="s">
        <v>101</v>
      </c>
      <c r="G76" s="10" t="s">
        <v>102</v>
      </c>
      <c r="H76" s="10"/>
      <c r="L76" s="10"/>
      <c r="M76" s="10"/>
      <c r="N76" s="10"/>
      <c r="O76" s="10"/>
      <c r="P76" s="10"/>
      <c r="Q76" s="10"/>
      <c r="R76" s="10"/>
    </row>
    <row r="77" spans="1:18" x14ac:dyDescent="0.25">
      <c r="A77" s="6">
        <v>0</v>
      </c>
      <c r="B77" s="10">
        <v>1241.0517070707067</v>
      </c>
      <c r="C77" s="10">
        <v>0</v>
      </c>
      <c r="D77" s="10">
        <f>C77-B77</f>
        <v>-1241.0517070707067</v>
      </c>
      <c r="E77" s="10">
        <f>B77/(1+$B$1)^$A77</f>
        <v>1241.0517070707067</v>
      </c>
      <c r="F77" s="10">
        <f>C77/(1+$B$1)^$A77</f>
        <v>0</v>
      </c>
      <c r="G77" s="10">
        <f>F77-E77</f>
        <v>-1241.0517070707067</v>
      </c>
      <c r="H77" s="10"/>
      <c r="L77" s="10"/>
      <c r="M77" s="10"/>
      <c r="N77" s="10"/>
      <c r="O77" s="10"/>
      <c r="P77" s="10"/>
      <c r="Q77" s="10"/>
      <c r="R77" s="10"/>
    </row>
    <row r="78" spans="1:18" x14ac:dyDescent="0.25">
      <c r="A78" s="6">
        <v>1</v>
      </c>
      <c r="B78" s="10">
        <v>655.17603864734315</v>
      </c>
      <c r="C78" s="10">
        <f>Työkaluvälilehti!$B$12*(A79-A78)*Työkaluvälilehti!$B$3</f>
        <v>960</v>
      </c>
      <c r="D78" s="10">
        <f>C78-B78</f>
        <v>304.82396135265685</v>
      </c>
      <c r="E78" s="10">
        <f>B78/(1+$B$1)^$A78</f>
        <v>648.68914717558732</v>
      </c>
      <c r="F78" s="10">
        <f t="shared" ref="F78:F80" si="35">C78/(1+$B$1)^$A78</f>
        <v>950.49504950495054</v>
      </c>
      <c r="G78" s="10">
        <f>F78-E78</f>
        <v>301.80590232936322</v>
      </c>
      <c r="H78" s="10"/>
      <c r="L78" s="10"/>
      <c r="M78" s="10"/>
      <c r="N78" s="10"/>
      <c r="O78" s="10"/>
      <c r="P78" s="10"/>
      <c r="Q78" s="10"/>
      <c r="R78" s="10"/>
    </row>
    <row r="79" spans="1:18" x14ac:dyDescent="0.25">
      <c r="A79" s="6">
        <v>2</v>
      </c>
      <c r="B79" s="10">
        <v>655.17603864734315</v>
      </c>
      <c r="C79" s="10">
        <f>Työkaluvälilehti!$B$12*(A79-A78)*Työkaluvälilehti!$B$3</f>
        <v>960</v>
      </c>
      <c r="D79" s="10">
        <f t="shared" ref="D79:D80" si="36">C79-B79</f>
        <v>304.82396135265685</v>
      </c>
      <c r="E79" s="10">
        <f t="shared" ref="E79:F86" si="37">B79/(1+$B$1)^$A79</f>
        <v>642.26648235206665</v>
      </c>
      <c r="F79" s="10">
        <f t="shared" si="35"/>
        <v>941.08420743064403</v>
      </c>
      <c r="G79" s="10">
        <f t="shared" ref="G79:G80" si="38">F79-E79</f>
        <v>298.81772507857738</v>
      </c>
      <c r="H79" s="10"/>
      <c r="L79" s="10"/>
      <c r="M79" s="10"/>
      <c r="N79" s="10"/>
      <c r="O79" s="10"/>
      <c r="P79" s="10"/>
      <c r="Q79" s="10"/>
      <c r="R79" s="10"/>
    </row>
    <row r="80" spans="1:18" x14ac:dyDescent="0.25">
      <c r="A80" s="6">
        <v>3</v>
      </c>
      <c r="B80" s="10">
        <v>655.17603864734315</v>
      </c>
      <c r="C80" s="10">
        <f>Työkaluvälilehti!$B$12*(A80-A79)*Työkaluvälilehti!$B$3</f>
        <v>960</v>
      </c>
      <c r="D80" s="10">
        <f t="shared" si="36"/>
        <v>304.82396135265685</v>
      </c>
      <c r="E80" s="10">
        <f t="shared" si="37"/>
        <v>635.90740826937292</v>
      </c>
      <c r="F80" s="10">
        <f t="shared" si="35"/>
        <v>931.76654201053873</v>
      </c>
      <c r="G80" s="10">
        <f t="shared" si="38"/>
        <v>295.85913374116581</v>
      </c>
      <c r="H80" s="10"/>
      <c r="L80" s="10"/>
      <c r="M80" s="10"/>
      <c r="N80" s="10"/>
      <c r="O80" s="10"/>
      <c r="P80" s="10"/>
      <c r="Q80" s="10"/>
      <c r="R80" s="10"/>
    </row>
    <row r="81" spans="1:18" x14ac:dyDescent="0.25">
      <c r="A81" s="6">
        <v>4</v>
      </c>
      <c r="B81" s="10">
        <v>655.17603864734315</v>
      </c>
      <c r="C81" s="10">
        <f>Työkaluvälilehti!$B$12*(A81-A80)*Työkaluvälilehti!$B$3</f>
        <v>960</v>
      </c>
      <c r="D81" s="10">
        <f>C81-B81</f>
        <v>304.82396135265685</v>
      </c>
      <c r="E81" s="10">
        <f t="shared" si="37"/>
        <v>629.61129531621077</v>
      </c>
      <c r="F81" s="10">
        <f t="shared" si="37"/>
        <v>922.54113070350365</v>
      </c>
      <c r="G81" s="10">
        <f>F81-E81</f>
        <v>292.92983538729288</v>
      </c>
      <c r="H81" s="10"/>
      <c r="L81" s="10"/>
      <c r="M81" s="10"/>
      <c r="N81" s="10"/>
      <c r="O81" s="10"/>
      <c r="P81" s="10"/>
      <c r="Q81" s="10"/>
      <c r="R81" s="10"/>
    </row>
    <row r="82" spans="1:18" x14ac:dyDescent="0.25">
      <c r="A82" s="6">
        <v>5</v>
      </c>
      <c r="B82" s="10">
        <v>655.17603864734315</v>
      </c>
      <c r="C82" s="10">
        <f>Työkaluvälilehti!$B$12*(A82-A81)*Työkaluvälilehti!$B$3</f>
        <v>960</v>
      </c>
      <c r="D82" s="10">
        <f>C82-B82</f>
        <v>304.82396135265685</v>
      </c>
      <c r="E82" s="10">
        <f t="shared" si="37"/>
        <v>623.37752011506018</v>
      </c>
      <c r="F82" s="10">
        <f t="shared" si="37"/>
        <v>913.40706010247891</v>
      </c>
      <c r="G82" s="10">
        <f>F82-E82</f>
        <v>290.02953998741873</v>
      </c>
      <c r="H82" s="10"/>
      <c r="L82" s="10"/>
      <c r="M82" s="10"/>
      <c r="N82" s="10"/>
      <c r="O82" s="10"/>
      <c r="P82" s="10"/>
      <c r="Q82" s="10"/>
      <c r="R82" s="10"/>
    </row>
    <row r="83" spans="1:18" x14ac:dyDescent="0.25">
      <c r="A83" s="6">
        <v>6</v>
      </c>
      <c r="B83" s="10">
        <v>655.17603864734315</v>
      </c>
      <c r="C83" s="10">
        <f>Työkaluvälilehti!$B$12*(A83-A82)*Työkaluvälilehti!$B$3</f>
        <v>960</v>
      </c>
      <c r="D83" s="10">
        <f>C83-B83</f>
        <v>304.82396135265685</v>
      </c>
      <c r="E83" s="10">
        <f t="shared" si="37"/>
        <v>617.20546546045557</v>
      </c>
      <c r="F83" s="10">
        <f t="shared" si="37"/>
        <v>904.36342584403837</v>
      </c>
      <c r="G83" s="10">
        <f>F83-E83</f>
        <v>287.1579603835828</v>
      </c>
      <c r="H83" s="10"/>
      <c r="L83" s="10"/>
      <c r="M83" s="10"/>
      <c r="N83" s="10"/>
      <c r="O83" s="10"/>
      <c r="P83" s="10"/>
      <c r="Q83" s="10"/>
      <c r="R83" s="10"/>
    </row>
    <row r="84" spans="1:18" x14ac:dyDescent="0.25">
      <c r="A84" s="6">
        <v>7</v>
      </c>
      <c r="B84" s="10">
        <v>655.17603864734315</v>
      </c>
      <c r="C84" s="10">
        <f>Työkaluvälilehti!$B$12*(A84-A83)*Työkaluvälilehti!$B$3</f>
        <v>960</v>
      </c>
      <c r="D84" s="10">
        <f t="shared" ref="D84:D85" si="39">C84-B84</f>
        <v>304.82396135265685</v>
      </c>
      <c r="E84" s="10">
        <f>B84/(1+$B$1)^$A84</f>
        <v>611.09452025787698</v>
      </c>
      <c r="F84" s="10">
        <f t="shared" si="37"/>
        <v>895.40933251885008</v>
      </c>
      <c r="G84" s="10">
        <f>F84-E84</f>
        <v>284.3148122609731</v>
      </c>
      <c r="H84" s="10"/>
      <c r="L84" s="10"/>
      <c r="M84" s="10"/>
      <c r="N84" s="10"/>
      <c r="O84" s="10"/>
      <c r="P84" s="10"/>
      <c r="Q84" s="10"/>
      <c r="R84" s="10"/>
    </row>
    <row r="85" spans="1:18" x14ac:dyDescent="0.25">
      <c r="A85" s="6">
        <v>8</v>
      </c>
      <c r="B85" s="10">
        <v>655.17603864734315</v>
      </c>
      <c r="C85" s="10">
        <f>Työkaluvälilehti!$B$12*(A85-A84)*Työkaluvälilehti!$B$3</f>
        <v>960</v>
      </c>
      <c r="D85" s="10">
        <f t="shared" si="39"/>
        <v>304.82396135265685</v>
      </c>
      <c r="E85" s="10">
        <f t="shared" ref="E85" si="40">B85/(1+$B$1)^$A85</f>
        <v>605.04407946324432</v>
      </c>
      <c r="F85" s="10">
        <f t="shared" si="37"/>
        <v>886.54389358301967</v>
      </c>
      <c r="G85" s="10">
        <f t="shared" ref="G85:G86" si="41">F85-E85</f>
        <v>281.49981411977535</v>
      </c>
      <c r="H85" s="10"/>
      <c r="L85" s="10"/>
      <c r="M85" s="10"/>
      <c r="N85" s="10"/>
      <c r="O85" s="10"/>
      <c r="P85" s="10"/>
      <c r="Q85" s="10"/>
      <c r="R85" s="10"/>
    </row>
    <row r="86" spans="1:18" x14ac:dyDescent="0.25">
      <c r="A86" s="6">
        <v>9</v>
      </c>
      <c r="B86" s="10">
        <v>655.17603864734315</v>
      </c>
      <c r="C86" s="10">
        <f>Työkaluvälilehti!$B$12*(A86-A85)*Työkaluvälilehti!$B$3</f>
        <v>960</v>
      </c>
      <c r="D86" s="10">
        <f>C86-B86</f>
        <v>304.82396135265685</v>
      </c>
      <c r="E86" s="10">
        <f>B86/(1+$B$1)^$A86</f>
        <v>599.05354402301418</v>
      </c>
      <c r="F86" s="10">
        <f t="shared" si="37"/>
        <v>877.76623127031644</v>
      </c>
      <c r="G86" s="10">
        <f t="shared" si="41"/>
        <v>278.71268724730226</v>
      </c>
      <c r="H86" s="10"/>
      <c r="L86" s="10"/>
      <c r="M86" s="10"/>
      <c r="N86" s="10"/>
      <c r="O86" s="10"/>
      <c r="P86" s="10"/>
      <c r="Q86" s="10"/>
      <c r="R86" s="10"/>
    </row>
    <row r="87" spans="1:18" x14ac:dyDescent="0.25">
      <c r="A87" s="6">
        <v>10</v>
      </c>
      <c r="B87" s="10">
        <v>685.52239523649041</v>
      </c>
      <c r="C87" s="10">
        <f>Työkaluvälilehti!$B$12*(A87-A86)*Työkaluvälilehti!$B$3</f>
        <v>960</v>
      </c>
      <c r="D87" s="10">
        <f>C87-B87</f>
        <v>274.47760476350959</v>
      </c>
      <c r="E87" s="10">
        <f>B87/(1+$B$1)^$A87</f>
        <v>620.59448155748191</v>
      </c>
      <c r="F87" s="10">
        <f>C87/(1+$B$1)^$A87</f>
        <v>869.07547650526374</v>
      </c>
      <c r="G87" s="10">
        <f>F87-E87</f>
        <v>248.48099494778182</v>
      </c>
      <c r="H87" s="10"/>
      <c r="L87" s="10"/>
      <c r="M87" s="10"/>
      <c r="N87" s="10"/>
      <c r="O87" s="10"/>
      <c r="P87" s="10"/>
      <c r="Q87" s="10"/>
      <c r="R87" s="10"/>
    </row>
    <row r="88" spans="1:18" x14ac:dyDescent="0.25">
      <c r="A88" s="6" t="s">
        <v>103</v>
      </c>
      <c r="B88" s="10" t="s">
        <v>107</v>
      </c>
      <c r="C88" s="10" t="s">
        <v>98</v>
      </c>
      <c r="D88" s="10" t="s">
        <v>99</v>
      </c>
      <c r="E88" s="10" t="s">
        <v>100</v>
      </c>
      <c r="F88" s="10" t="s">
        <v>101</v>
      </c>
      <c r="G88" s="10" t="s">
        <v>102</v>
      </c>
      <c r="H88" s="10" t="s">
        <v>83</v>
      </c>
      <c r="L88" s="10"/>
      <c r="M88" s="10"/>
      <c r="N88" s="10"/>
      <c r="O88" s="10"/>
      <c r="P88" s="10"/>
      <c r="Q88" s="10"/>
      <c r="R88" s="10"/>
    </row>
    <row r="89" spans="1:18" x14ac:dyDescent="0.25">
      <c r="B89" s="10">
        <f>SUM(B77:B87)</f>
        <v>7823.1584501332873</v>
      </c>
      <c r="C89" s="10">
        <f t="shared" ref="C89:G89" si="42">SUM(C77:C87)</f>
        <v>9600</v>
      </c>
      <c r="D89" s="10">
        <f>SUM(D77:D87)</f>
        <v>1776.8415498667146</v>
      </c>
      <c r="E89" s="10">
        <f t="shared" si="42"/>
        <v>7473.8956510610769</v>
      </c>
      <c r="F89" s="10">
        <f t="shared" si="42"/>
        <v>9092.452349473604</v>
      </c>
      <c r="G89" s="10">
        <f t="shared" si="42"/>
        <v>1618.5566984125267</v>
      </c>
      <c r="H89" s="10">
        <f>G89/(1-(1/(1+$B$1))^(A87))</f>
        <v>17089.05772342021</v>
      </c>
      <c r="L89" s="10"/>
      <c r="M89" s="10"/>
      <c r="N89" s="10"/>
      <c r="O89" s="10"/>
      <c r="P89" s="10"/>
      <c r="Q89" s="10"/>
      <c r="R89" s="10"/>
    </row>
    <row r="90" spans="1:18" x14ac:dyDescent="0.25">
      <c r="B90" s="10" t="s">
        <v>104</v>
      </c>
      <c r="C90" s="10">
        <v>1610.3158450133287</v>
      </c>
      <c r="D90" s="10"/>
      <c r="E90" s="10"/>
      <c r="F90" s="10"/>
      <c r="G90" s="10"/>
      <c r="H90" s="10"/>
      <c r="L90" s="10"/>
      <c r="M90" s="10"/>
      <c r="N90" s="10"/>
      <c r="O90" s="10"/>
      <c r="P90" s="10"/>
      <c r="Q90" s="10"/>
      <c r="R90" s="10"/>
    </row>
    <row r="91" spans="1:18" x14ac:dyDescent="0.25">
      <c r="A91" s="6" t="s">
        <v>74</v>
      </c>
      <c r="B91" s="10"/>
      <c r="C91" s="10"/>
      <c r="D91" s="10"/>
      <c r="E91" s="10"/>
      <c r="F91" s="10"/>
      <c r="G91" s="10"/>
      <c r="H91" s="10"/>
      <c r="L91" s="10"/>
      <c r="M91" s="10"/>
      <c r="N91" s="10"/>
      <c r="O91" s="10"/>
      <c r="P91" s="10"/>
      <c r="Q91" s="10"/>
      <c r="R91" s="10"/>
    </row>
    <row r="92" spans="1:18" x14ac:dyDescent="0.25">
      <c r="A92" s="6" t="s">
        <v>78</v>
      </c>
      <c r="B92" s="10" t="s">
        <v>107</v>
      </c>
      <c r="C92" s="10" t="s">
        <v>98</v>
      </c>
      <c r="D92" s="10" t="s">
        <v>99</v>
      </c>
      <c r="E92" s="10" t="s">
        <v>100</v>
      </c>
      <c r="F92" s="10" t="s">
        <v>101</v>
      </c>
      <c r="G92" s="10" t="s">
        <v>102</v>
      </c>
      <c r="H92" s="10"/>
      <c r="L92" s="10"/>
      <c r="M92" s="10"/>
      <c r="N92" s="10"/>
      <c r="O92" s="10"/>
      <c r="P92" s="10"/>
      <c r="Q92" s="10"/>
      <c r="R92" s="10"/>
    </row>
    <row r="93" spans="1:18" x14ac:dyDescent="0.25">
      <c r="A93" s="6">
        <v>0</v>
      </c>
      <c r="B93" s="10">
        <v>1241.0517070707067</v>
      </c>
      <c r="C93" s="10">
        <v>0</v>
      </c>
      <c r="D93" s="10">
        <f>C93-B93</f>
        <v>-1241.0517070707067</v>
      </c>
      <c r="E93" s="10">
        <f>B93/(1+$B$1)^$A93</f>
        <v>1241.0517070707067</v>
      </c>
      <c r="F93" s="10">
        <f>C93/(1+$B$1)^$A93</f>
        <v>0</v>
      </c>
      <c r="G93" s="10">
        <f>F93-E93</f>
        <v>-1241.0517070707067</v>
      </c>
      <c r="H93" s="10"/>
      <c r="L93" s="10"/>
      <c r="M93" s="10"/>
      <c r="N93" s="10"/>
      <c r="O93" s="10"/>
      <c r="P93" s="10"/>
      <c r="Q93" s="10"/>
      <c r="R93" s="10"/>
    </row>
    <row r="94" spans="1:18" x14ac:dyDescent="0.25">
      <c r="A94" s="6">
        <v>1</v>
      </c>
      <c r="B94" s="10">
        <v>88.968222222222209</v>
      </c>
      <c r="C94" s="10">
        <v>0</v>
      </c>
      <c r="D94" s="10">
        <f>C94-B94</f>
        <v>-88.968222222222209</v>
      </c>
      <c r="E94" s="10">
        <f>B94/(1+$B$1)^$A94</f>
        <v>88.087348734873473</v>
      </c>
      <c r="F94" s="10">
        <f t="shared" ref="F94:F96" si="43">C94/(1+$B$1)^$A94</f>
        <v>0</v>
      </c>
      <c r="G94" s="10">
        <f>F94-E94</f>
        <v>-88.087348734873473</v>
      </c>
      <c r="H94" s="10"/>
      <c r="L94" s="10"/>
      <c r="M94" s="10"/>
      <c r="N94" s="10"/>
      <c r="O94" s="10"/>
      <c r="P94" s="10"/>
      <c r="Q94" s="10"/>
      <c r="R94" s="10"/>
    </row>
    <row r="95" spans="1:18" x14ac:dyDescent="0.25">
      <c r="A95" s="6">
        <v>2</v>
      </c>
      <c r="B95" s="10">
        <v>976.66324361628699</v>
      </c>
      <c r="C95" s="10">
        <f>Työkaluvälilehti!$B$12*(A95-A94)*Työkaluvälilehti!$B$4</f>
        <v>1200</v>
      </c>
      <c r="D95" s="10">
        <f t="shared" ref="D95:D96" si="44">C95-B95</f>
        <v>223.33675638371301</v>
      </c>
      <c r="E95" s="10">
        <f t="shared" ref="E95:F102" si="45">B95/(1+$B$1)^$A95</f>
        <v>957.4191193179953</v>
      </c>
      <c r="F95" s="10">
        <f t="shared" si="43"/>
        <v>1176.355259288305</v>
      </c>
      <c r="G95" s="10">
        <f t="shared" ref="G95:G96" si="46">F95-E95</f>
        <v>218.93613997030968</v>
      </c>
      <c r="H95" s="10"/>
      <c r="L95" s="10"/>
      <c r="M95" s="10"/>
      <c r="N95" s="10"/>
      <c r="O95" s="10"/>
      <c r="P95" s="10"/>
      <c r="Q95" s="10"/>
      <c r="R95" s="10"/>
    </row>
    <row r="96" spans="1:18" x14ac:dyDescent="0.25">
      <c r="A96" s="6">
        <v>3</v>
      </c>
      <c r="B96" s="10">
        <v>976.66324361628699</v>
      </c>
      <c r="C96" s="10">
        <f>Työkaluvälilehti!$B$12*(A96-A95)*Työkaluvälilehti!$B$4</f>
        <v>1200</v>
      </c>
      <c r="D96" s="10">
        <f t="shared" si="44"/>
        <v>223.33675638371301</v>
      </c>
      <c r="E96" s="10">
        <f t="shared" si="45"/>
        <v>947.93972209702508</v>
      </c>
      <c r="F96" s="10">
        <f t="shared" si="43"/>
        <v>1164.7081775131735</v>
      </c>
      <c r="G96" s="10">
        <f t="shared" si="46"/>
        <v>216.76845541614841</v>
      </c>
      <c r="H96" s="10"/>
      <c r="L96" s="10"/>
      <c r="M96" s="10"/>
      <c r="N96" s="10"/>
      <c r="O96" s="10"/>
      <c r="P96" s="10"/>
      <c r="Q96" s="10"/>
      <c r="R96" s="10"/>
    </row>
    <row r="97" spans="1:18" x14ac:dyDescent="0.25">
      <c r="A97" s="6">
        <v>4</v>
      </c>
      <c r="B97" s="10">
        <v>976.66324361628699</v>
      </c>
      <c r="C97" s="10">
        <f>Työkaluvälilehti!$B$12*(A97-A96)*Työkaluvälilehti!$B$4</f>
        <v>1200</v>
      </c>
      <c r="D97" s="10">
        <f>C97-B97</f>
        <v>223.33675638371301</v>
      </c>
      <c r="E97" s="10">
        <f t="shared" si="45"/>
        <v>938.55418029408418</v>
      </c>
      <c r="F97" s="10">
        <f t="shared" si="45"/>
        <v>1153.1764133793795</v>
      </c>
      <c r="G97" s="10">
        <f>F97-E97</f>
        <v>214.62223308529531</v>
      </c>
      <c r="H97" s="10"/>
      <c r="L97" s="10"/>
      <c r="M97" s="10"/>
      <c r="N97" s="10"/>
      <c r="O97" s="10"/>
      <c r="P97" s="10"/>
      <c r="Q97" s="10"/>
      <c r="R97" s="10"/>
    </row>
    <row r="98" spans="1:18" x14ac:dyDescent="0.25">
      <c r="A98" s="6">
        <v>5</v>
      </c>
      <c r="B98" s="10">
        <v>976.66324361628699</v>
      </c>
      <c r="C98" s="10">
        <f>Työkaluvälilehti!$B$12*(A98-A97)*Työkaluvälilehti!$B$4</f>
        <v>1200</v>
      </c>
      <c r="D98" s="10">
        <f>C98-B98</f>
        <v>223.33675638371301</v>
      </c>
      <c r="E98" s="10">
        <f t="shared" si="45"/>
        <v>929.26156464760822</v>
      </c>
      <c r="F98" s="10">
        <f t="shared" si="45"/>
        <v>1141.7588251280986</v>
      </c>
      <c r="G98" s="10">
        <f>F98-E98</f>
        <v>212.49726048049035</v>
      </c>
      <c r="H98" s="10"/>
      <c r="L98" s="10"/>
      <c r="M98" s="10"/>
      <c r="N98" s="10"/>
      <c r="O98" s="10"/>
      <c r="P98" s="10"/>
      <c r="Q98" s="10"/>
      <c r="R98" s="10"/>
    </row>
    <row r="99" spans="1:18" x14ac:dyDescent="0.25">
      <c r="A99" s="6">
        <v>6</v>
      </c>
      <c r="B99" s="10">
        <v>976.66324361628699</v>
      </c>
      <c r="C99" s="10">
        <f>Työkaluvälilehti!$B$12*(A99-A98)*Työkaluvälilehti!$B$4</f>
        <v>1200</v>
      </c>
      <c r="D99" s="10">
        <f>C99-B99</f>
        <v>223.33675638371301</v>
      </c>
      <c r="E99" s="10">
        <f t="shared" si="45"/>
        <v>920.06095509664158</v>
      </c>
      <c r="F99" s="10">
        <f t="shared" si="45"/>
        <v>1130.4542823050479</v>
      </c>
      <c r="G99" s="10">
        <f>F99-E99</f>
        <v>210.39332720840628</v>
      </c>
      <c r="H99" s="10"/>
      <c r="L99" s="10"/>
      <c r="M99" s="10"/>
      <c r="N99" s="10"/>
      <c r="O99" s="10"/>
      <c r="P99" s="10"/>
      <c r="Q99" s="10"/>
      <c r="R99" s="10"/>
    </row>
    <row r="100" spans="1:18" x14ac:dyDescent="0.25">
      <c r="A100" s="6">
        <v>7</v>
      </c>
      <c r="B100" s="10">
        <v>976.66324361628699</v>
      </c>
      <c r="C100" s="10">
        <f>Työkaluvälilehti!$B$12*(A100-A99)*Työkaluvälilehti!$B$4</f>
        <v>1200</v>
      </c>
      <c r="D100" s="10">
        <f t="shared" ref="D100:D101" si="47">C100-B100</f>
        <v>223.33675638371301</v>
      </c>
      <c r="E100" s="10">
        <f>B100/(1+$B$1)^$A100</f>
        <v>910.95144068974435</v>
      </c>
      <c r="F100" s="10">
        <f t="shared" si="45"/>
        <v>1119.2616656485627</v>
      </c>
      <c r="G100" s="10">
        <f>F100-E100</f>
        <v>208.31022495881837</v>
      </c>
      <c r="H100" s="10"/>
      <c r="L100" s="10"/>
      <c r="M100" s="10"/>
      <c r="N100" s="10"/>
      <c r="O100" s="10"/>
      <c r="P100" s="10"/>
      <c r="Q100" s="10"/>
      <c r="R100" s="10"/>
    </row>
    <row r="101" spans="1:18" x14ac:dyDescent="0.25">
      <c r="A101" s="6">
        <v>8</v>
      </c>
      <c r="B101" s="10">
        <v>976.66324361628699</v>
      </c>
      <c r="C101" s="10">
        <f>Työkaluvälilehti!$B$12*(A101-A100)*Työkaluvälilehti!$B$4</f>
        <v>1200</v>
      </c>
      <c r="D101" s="10">
        <f t="shared" si="47"/>
        <v>223.33675638371301</v>
      </c>
      <c r="E101" s="10">
        <f t="shared" ref="E101" si="48">B101/(1+$B$1)^$A101</f>
        <v>901.93211949479621</v>
      </c>
      <c r="F101" s="10">
        <f t="shared" si="45"/>
        <v>1108.1798669787745</v>
      </c>
      <c r="G101" s="10">
        <f t="shared" ref="G101:G102" si="49">F101-E101</f>
        <v>206.24774748397829</v>
      </c>
      <c r="H101" s="10"/>
      <c r="L101" s="10"/>
      <c r="M101" s="10"/>
      <c r="N101" s="10"/>
      <c r="O101" s="10"/>
      <c r="P101" s="10"/>
      <c r="Q101" s="10"/>
      <c r="R101" s="10"/>
    </row>
    <row r="102" spans="1:18" x14ac:dyDescent="0.25">
      <c r="A102" s="6">
        <v>9</v>
      </c>
      <c r="B102" s="10">
        <v>976.66324361628699</v>
      </c>
      <c r="C102" s="10">
        <f>Työkaluvälilehti!$B$12*(A102-A101)*Työkaluvälilehti!$B$4</f>
        <v>1200</v>
      </c>
      <c r="D102" s="10">
        <f>C102-B102</f>
        <v>223.33675638371301</v>
      </c>
      <c r="E102" s="10">
        <f>B102/(1+$B$1)^$A102</f>
        <v>893.00209850969918</v>
      </c>
      <c r="F102" s="10">
        <f t="shared" si="45"/>
        <v>1097.2077890878954</v>
      </c>
      <c r="G102" s="10">
        <f t="shared" si="49"/>
        <v>204.20569057819625</v>
      </c>
      <c r="H102" s="10"/>
      <c r="L102" s="10"/>
      <c r="M102" s="10"/>
      <c r="N102" s="10"/>
      <c r="O102" s="10"/>
      <c r="P102" s="10"/>
      <c r="Q102" s="10"/>
      <c r="R102" s="10"/>
    </row>
    <row r="103" spans="1:18" x14ac:dyDescent="0.25">
      <c r="A103" s="6">
        <v>10</v>
      </c>
      <c r="B103" s="10">
        <v>1007.0096002054343</v>
      </c>
      <c r="C103" s="10">
        <f>Työkaluvälilehti!$B$12*(A103-A102)*Työkaluvälilehti!$B$4</f>
        <v>1200</v>
      </c>
      <c r="D103" s="10">
        <f>C103-B103</f>
        <v>192.99039979456575</v>
      </c>
      <c r="E103" s="10">
        <f>B103/(1+$B$1)^$A103</f>
        <v>911.63265431657601</v>
      </c>
      <c r="F103" s="10">
        <f>C103/(1+$B$1)^$A103</f>
        <v>1086.3443456315797</v>
      </c>
      <c r="G103" s="10">
        <f>F103-E103</f>
        <v>174.71169131500369</v>
      </c>
      <c r="H103" s="10"/>
      <c r="L103" s="10"/>
      <c r="M103" s="10"/>
      <c r="N103" s="10"/>
      <c r="O103" s="10"/>
      <c r="P103" s="10"/>
      <c r="Q103" s="10"/>
      <c r="R103" s="10"/>
    </row>
    <row r="104" spans="1:18" x14ac:dyDescent="0.25">
      <c r="A104" s="6" t="s">
        <v>103</v>
      </c>
      <c r="B104" s="10" t="s">
        <v>107</v>
      </c>
      <c r="C104" s="10" t="s">
        <v>98</v>
      </c>
      <c r="D104" s="10" t="s">
        <v>99</v>
      </c>
      <c r="E104" s="10" t="s">
        <v>100</v>
      </c>
      <c r="F104" s="10" t="s">
        <v>101</v>
      </c>
      <c r="G104" s="10" t="s">
        <v>102</v>
      </c>
      <c r="H104" s="10" t="s">
        <v>83</v>
      </c>
      <c r="L104" s="10"/>
      <c r="M104" s="10"/>
      <c r="N104" s="10"/>
      <c r="O104" s="10"/>
      <c r="P104" s="10"/>
      <c r="Q104" s="10"/>
      <c r="R104" s="10"/>
    </row>
    <row r="105" spans="1:18" x14ac:dyDescent="0.25">
      <c r="B105" s="10">
        <f>SUM(B93:B103)</f>
        <v>10150.33547842866</v>
      </c>
      <c r="C105" s="10">
        <f t="shared" ref="C105:G105" si="50">SUM(C93:C103)</f>
        <v>10800</v>
      </c>
      <c r="D105" s="10">
        <f t="shared" si="50"/>
        <v>649.66452157134086</v>
      </c>
      <c r="E105" s="10">
        <f t="shared" si="50"/>
        <v>9639.8929102697493</v>
      </c>
      <c r="F105" s="10">
        <f t="shared" si="50"/>
        <v>10177.446624960816</v>
      </c>
      <c r="G105" s="10">
        <f t="shared" si="50"/>
        <v>537.55371469106626</v>
      </c>
      <c r="H105" s="10">
        <f>G105/(1-(1/(1+$B$1))^(A103))</f>
        <v>5675.6037454878533</v>
      </c>
      <c r="L105" s="10"/>
      <c r="M105" s="10"/>
      <c r="N105" s="10"/>
      <c r="O105" s="10"/>
      <c r="P105" s="10"/>
      <c r="Q105" s="10"/>
      <c r="R105" s="10"/>
    </row>
    <row r="106" spans="1:18" x14ac:dyDescent="0.25">
      <c r="B106" s="10" t="s">
        <v>104</v>
      </c>
      <c r="C106" s="10">
        <v>1843.033547842866</v>
      </c>
      <c r="D106" s="10"/>
      <c r="E106" s="10"/>
      <c r="F106" s="10"/>
      <c r="G106" s="10"/>
      <c r="H106" s="10"/>
      <c r="L106" s="10"/>
      <c r="M106" s="10"/>
      <c r="N106" s="10"/>
      <c r="O106" s="10"/>
      <c r="P106" s="10"/>
      <c r="Q106" s="10"/>
      <c r="R106" s="10"/>
    </row>
    <row r="107" spans="1:18" x14ac:dyDescent="0.25">
      <c r="A107" s="6" t="s">
        <v>77</v>
      </c>
      <c r="B107" s="10"/>
      <c r="C107" s="10"/>
      <c r="D107" s="10"/>
      <c r="E107" s="10"/>
      <c r="F107" s="10"/>
      <c r="G107" s="10"/>
      <c r="H107" s="10"/>
      <c r="L107" s="10"/>
      <c r="M107" s="10"/>
      <c r="N107" s="10"/>
      <c r="O107" s="10"/>
      <c r="P107" s="10"/>
      <c r="Q107" s="10"/>
      <c r="R107" s="10"/>
    </row>
    <row r="108" spans="1:18" x14ac:dyDescent="0.25">
      <c r="A108" s="6" t="s">
        <v>78</v>
      </c>
      <c r="B108" s="10" t="s">
        <v>107</v>
      </c>
      <c r="C108" s="10" t="s">
        <v>98</v>
      </c>
      <c r="D108" s="10" t="s">
        <v>99</v>
      </c>
      <c r="E108" s="10" t="s">
        <v>100</v>
      </c>
      <c r="F108" s="10" t="s">
        <v>101</v>
      </c>
      <c r="G108" s="10" t="s">
        <v>102</v>
      </c>
      <c r="H108" s="10"/>
      <c r="L108" s="10"/>
      <c r="M108" s="10"/>
      <c r="N108" s="10"/>
      <c r="O108" s="10"/>
      <c r="P108" s="10"/>
      <c r="Q108" s="10"/>
      <c r="R108" s="10"/>
    </row>
    <row r="109" spans="1:18" x14ac:dyDescent="0.25">
      <c r="A109" s="6">
        <v>0</v>
      </c>
      <c r="B109" s="10">
        <v>1241.0517070707067</v>
      </c>
      <c r="C109" s="10">
        <v>0</v>
      </c>
      <c r="D109" s="10">
        <f>C109-B109</f>
        <v>-1241.0517070707067</v>
      </c>
      <c r="E109" s="10">
        <f>B109/(1+$B$1)^$A109</f>
        <v>1241.0517070707067</v>
      </c>
      <c r="F109" s="10">
        <f>C109/(1+$B$1)^$A109</f>
        <v>0</v>
      </c>
      <c r="G109" s="10">
        <f>F109-E109</f>
        <v>-1241.0517070707067</v>
      </c>
      <c r="H109" s="10"/>
      <c r="L109" s="10"/>
      <c r="M109" s="10"/>
      <c r="N109" s="10"/>
      <c r="O109" s="10"/>
      <c r="P109" s="10"/>
      <c r="Q109" s="10"/>
      <c r="R109" s="10"/>
    </row>
    <row r="110" spans="1:18" x14ac:dyDescent="0.25">
      <c r="A110" s="6">
        <v>1</v>
      </c>
      <c r="B110" s="10">
        <v>88.968222222222209</v>
      </c>
      <c r="C110" s="10">
        <v>0</v>
      </c>
      <c r="D110" s="10">
        <f>C110-B110</f>
        <v>-88.968222222222209</v>
      </c>
      <c r="E110" s="10">
        <f>B110/(1+$B$1)^$A110</f>
        <v>88.087348734873473</v>
      </c>
      <c r="F110" s="10">
        <f t="shared" ref="F110:F112" si="51">C110/(1+$B$1)^$A110</f>
        <v>0</v>
      </c>
      <c r="G110" s="10">
        <f>F110-E110</f>
        <v>-88.087348734873473</v>
      </c>
      <c r="H110" s="10"/>
      <c r="L110" s="10"/>
      <c r="M110" s="10"/>
      <c r="N110" s="10"/>
      <c r="O110" s="10"/>
      <c r="P110" s="10"/>
      <c r="Q110" s="10"/>
      <c r="R110" s="10"/>
    </row>
    <row r="111" spans="1:18" x14ac:dyDescent="0.25">
      <c r="A111" s="6">
        <v>2</v>
      </c>
      <c r="B111" s="10">
        <v>978.55909313833445</v>
      </c>
      <c r="C111" s="10">
        <f>Työkaluvälilehti!$B$12*(A111-A110)*Työkaluvälilehti!$B$5</f>
        <v>960</v>
      </c>
      <c r="D111" s="10">
        <f t="shared" ref="D111:D112" si="52">C111-B111</f>
        <v>-18.559093138334447</v>
      </c>
      <c r="E111" s="10">
        <f t="shared" ref="E111:F118" si="53">B111/(1+$B$1)^$A111</f>
        <v>959.27761311472841</v>
      </c>
      <c r="F111" s="10">
        <f t="shared" si="51"/>
        <v>941.08420743064403</v>
      </c>
      <c r="G111" s="10">
        <f t="shared" ref="G111:G112" si="54">F111-E111</f>
        <v>-18.193405684084382</v>
      </c>
      <c r="H111" s="10"/>
      <c r="L111" s="10"/>
      <c r="M111" s="10"/>
      <c r="N111" s="10"/>
      <c r="O111" s="10"/>
      <c r="P111" s="10"/>
      <c r="Q111" s="10"/>
      <c r="R111" s="10"/>
    </row>
    <row r="112" spans="1:18" x14ac:dyDescent="0.25">
      <c r="A112" s="6">
        <v>3</v>
      </c>
      <c r="B112" s="10">
        <v>978.55909313833445</v>
      </c>
      <c r="C112" s="10">
        <f>Työkaluvälilehti!$B$12*(A112-A111)*Työkaluvälilehti!$B$5</f>
        <v>960</v>
      </c>
      <c r="D112" s="10">
        <f t="shared" si="52"/>
        <v>-18.559093138334447</v>
      </c>
      <c r="E112" s="10">
        <f t="shared" si="53"/>
        <v>949.77981496507766</v>
      </c>
      <c r="F112" s="10">
        <f t="shared" si="51"/>
        <v>931.76654201053873</v>
      </c>
      <c r="G112" s="10">
        <f t="shared" si="54"/>
        <v>-18.013272954538934</v>
      </c>
      <c r="H112" s="10"/>
      <c r="L112" s="10"/>
      <c r="M112" s="10"/>
      <c r="N112" s="10"/>
      <c r="O112" s="10"/>
      <c r="P112" s="10"/>
      <c r="Q112" s="10"/>
      <c r="R112" s="10"/>
    </row>
    <row r="113" spans="1:18" x14ac:dyDescent="0.25">
      <c r="A113" s="6">
        <v>4</v>
      </c>
      <c r="B113" s="10">
        <v>978.55909313833445</v>
      </c>
      <c r="C113" s="10">
        <f>Työkaluvälilehti!$B$12*(A113-A112)*Työkaluvälilehti!$B$5</f>
        <v>960</v>
      </c>
      <c r="D113" s="10">
        <f>C113-B113</f>
        <v>-18.559093138334447</v>
      </c>
      <c r="E113" s="10">
        <f t="shared" si="53"/>
        <v>940.37605442086897</v>
      </c>
      <c r="F113" s="10">
        <f t="shared" si="53"/>
        <v>922.54113070350365</v>
      </c>
      <c r="G113" s="10">
        <f>F113-E113</f>
        <v>-17.834923717365314</v>
      </c>
      <c r="H113" s="10"/>
      <c r="L113" s="10"/>
      <c r="M113" s="10"/>
      <c r="N113" s="10"/>
      <c r="O113" s="10"/>
      <c r="P113" s="10"/>
      <c r="Q113" s="10"/>
      <c r="R113" s="10"/>
    </row>
    <row r="114" spans="1:18" x14ac:dyDescent="0.25">
      <c r="A114" s="6">
        <v>5</v>
      </c>
      <c r="B114" s="10">
        <v>978.55909313833445</v>
      </c>
      <c r="C114" s="10">
        <f>Työkaluvälilehti!$B$12*(A114-A113)*Työkaluvälilehti!$B$5</f>
        <v>960</v>
      </c>
      <c r="D114" s="10">
        <f>C114-B114</f>
        <v>-18.559093138334447</v>
      </c>
      <c r="E114" s="10">
        <f t="shared" si="53"/>
        <v>931.065400416702</v>
      </c>
      <c r="F114" s="10">
        <f t="shared" si="53"/>
        <v>913.40706010247891</v>
      </c>
      <c r="G114" s="10">
        <f>F114-E114</f>
        <v>-17.658340314223096</v>
      </c>
      <c r="H114" s="10"/>
      <c r="L114" s="10"/>
      <c r="M114" s="10"/>
      <c r="N114" s="10"/>
      <c r="O114" s="10"/>
      <c r="P114" s="10"/>
      <c r="Q114" s="10"/>
      <c r="R114" s="10"/>
    </row>
    <row r="115" spans="1:18" x14ac:dyDescent="0.25">
      <c r="A115" s="6">
        <v>6</v>
      </c>
      <c r="B115" s="10">
        <v>978.55909313833445</v>
      </c>
      <c r="C115" s="10">
        <f>Työkaluvälilehti!$B$12*(A115-A114)*Työkaluvälilehti!$B$5</f>
        <v>960</v>
      </c>
      <c r="D115" s="10">
        <f>C115-B115</f>
        <v>-18.559093138334447</v>
      </c>
      <c r="E115" s="10">
        <f t="shared" si="53"/>
        <v>921.84693110564535</v>
      </c>
      <c r="F115" s="10">
        <f t="shared" si="53"/>
        <v>904.36342584403837</v>
      </c>
      <c r="G115" s="10">
        <f>F115-E115</f>
        <v>-17.483505261606979</v>
      </c>
      <c r="H115" s="10"/>
      <c r="L115" s="10"/>
      <c r="M115" s="10"/>
      <c r="N115" s="10"/>
      <c r="O115" s="10"/>
      <c r="P115" s="10"/>
      <c r="Q115" s="10"/>
      <c r="R115" s="10"/>
    </row>
    <row r="116" spans="1:18" x14ac:dyDescent="0.25">
      <c r="A116" s="6">
        <v>7</v>
      </c>
      <c r="B116" s="10">
        <v>978.55909313833445</v>
      </c>
      <c r="C116" s="10">
        <f>Työkaluvälilehti!$B$12*(A116-A115)*Työkaluvälilehti!$B$5</f>
        <v>960</v>
      </c>
      <c r="D116" s="10">
        <f t="shared" ref="D116:D117" si="55">C116-B116</f>
        <v>-18.559093138334447</v>
      </c>
      <c r="E116" s="10">
        <f>B116/(1+$B$1)^$A116</f>
        <v>912.71973376796598</v>
      </c>
      <c r="F116" s="10">
        <f t="shared" si="53"/>
        <v>895.40933251885008</v>
      </c>
      <c r="G116" s="10">
        <f>F116-E116</f>
        <v>-17.310401249115898</v>
      </c>
      <c r="H116" s="10"/>
      <c r="L116" s="10"/>
      <c r="M116" s="10"/>
      <c r="N116" s="10"/>
      <c r="O116" s="10"/>
      <c r="P116" s="10"/>
      <c r="Q116" s="10"/>
      <c r="R116" s="10"/>
    </row>
    <row r="117" spans="1:18" x14ac:dyDescent="0.25">
      <c r="A117" s="6">
        <v>8</v>
      </c>
      <c r="B117" s="10">
        <v>978.55909313833445</v>
      </c>
      <c r="C117" s="10">
        <f>Työkaluvälilehti!$B$12*(A117-A116)*Työkaluvälilehti!$B$5</f>
        <v>960</v>
      </c>
      <c r="D117" s="10">
        <f t="shared" si="55"/>
        <v>-18.559093138334447</v>
      </c>
      <c r="E117" s="10">
        <f t="shared" ref="E117" si="56">B117/(1+$B$1)^$A117</f>
        <v>903.68290472075807</v>
      </c>
      <c r="F117" s="10">
        <f t="shared" si="53"/>
        <v>886.54389358301967</v>
      </c>
      <c r="G117" s="10">
        <f t="shared" ref="G117:G118" si="57">F117-E117</f>
        <v>-17.139011137738407</v>
      </c>
      <c r="H117" s="10"/>
      <c r="L117" s="10"/>
      <c r="M117" s="10"/>
      <c r="N117" s="10"/>
      <c r="O117" s="10"/>
      <c r="P117" s="10"/>
      <c r="Q117" s="10"/>
      <c r="R117" s="10"/>
    </row>
    <row r="118" spans="1:18" x14ac:dyDescent="0.25">
      <c r="A118" s="6">
        <v>9</v>
      </c>
      <c r="B118" s="10">
        <v>978.55909313833445</v>
      </c>
      <c r="C118" s="10">
        <f>Työkaluvälilehti!$B$12*(A118-A117)*Työkaluvälilehti!$B$5</f>
        <v>960</v>
      </c>
      <c r="D118" s="10">
        <f>C118-B118</f>
        <v>-18.559093138334447</v>
      </c>
      <c r="E118" s="10">
        <f>B118/(1+$B$1)^$A118</f>
        <v>894.73554922847336</v>
      </c>
      <c r="F118" s="10">
        <f t="shared" si="53"/>
        <v>877.76623127031644</v>
      </c>
      <c r="G118" s="10">
        <f t="shared" si="57"/>
        <v>-16.969317958156921</v>
      </c>
      <c r="H118" s="10"/>
      <c r="L118" s="10"/>
      <c r="M118" s="10"/>
      <c r="N118" s="10"/>
      <c r="O118" s="10"/>
      <c r="P118" s="10"/>
      <c r="Q118" s="10"/>
      <c r="R118" s="10"/>
    </row>
    <row r="119" spans="1:18" x14ac:dyDescent="0.25">
      <c r="A119" s="6">
        <v>10</v>
      </c>
      <c r="B119" s="10">
        <v>1008.9054497274817</v>
      </c>
      <c r="C119" s="10">
        <f>Työkaluvälilehti!$B$12*(A119-A118)*Työkaluvälilehti!$B$5</f>
        <v>960</v>
      </c>
      <c r="D119" s="10">
        <f>C119-B119</f>
        <v>-48.905449727481709</v>
      </c>
      <c r="E119" s="10">
        <f>B119/(1+$B$1)^$A119</f>
        <v>913.34894215694646</v>
      </c>
      <c r="F119" s="10">
        <f>C119/(1+$B$1)^$A119</f>
        <v>869.07547650526374</v>
      </c>
      <c r="G119" s="10">
        <f>F119-E119</f>
        <v>-44.273465651682727</v>
      </c>
      <c r="H119" s="10"/>
      <c r="L119" s="10"/>
      <c r="M119" s="10"/>
      <c r="N119" s="10"/>
      <c r="O119" s="10"/>
      <c r="P119" s="10"/>
      <c r="Q119" s="10"/>
      <c r="R119" s="10"/>
    </row>
    <row r="120" spans="1:18" x14ac:dyDescent="0.25">
      <c r="A120" s="6" t="s">
        <v>103</v>
      </c>
      <c r="B120" s="10" t="s">
        <v>107</v>
      </c>
      <c r="C120" s="10" t="s">
        <v>98</v>
      </c>
      <c r="D120" s="10" t="s">
        <v>99</v>
      </c>
      <c r="E120" s="10" t="s">
        <v>100</v>
      </c>
      <c r="F120" s="10" t="s">
        <v>101</v>
      </c>
      <c r="G120" s="10" t="s">
        <v>102</v>
      </c>
      <c r="H120" s="10" t="s">
        <v>83</v>
      </c>
      <c r="L120" s="10"/>
      <c r="M120" s="10"/>
      <c r="N120" s="10"/>
      <c r="O120" s="10"/>
      <c r="P120" s="10"/>
      <c r="Q120" s="10"/>
      <c r="R120" s="10"/>
    </row>
    <row r="121" spans="1:18" x14ac:dyDescent="0.25">
      <c r="B121" s="10">
        <f>SUM(B109:B119)</f>
        <v>10167.398124127083</v>
      </c>
      <c r="C121" s="10">
        <f t="shared" ref="C121:G121" si="58">SUM(C109:C119)</f>
        <v>8640</v>
      </c>
      <c r="D121" s="10">
        <f t="shared" si="58"/>
        <v>-1527.3981241270862</v>
      </c>
      <c r="E121" s="10">
        <f t="shared" si="58"/>
        <v>9655.971999702746</v>
      </c>
      <c r="F121" s="10">
        <f t="shared" si="58"/>
        <v>8141.9572999686543</v>
      </c>
      <c r="G121" s="10">
        <f t="shared" si="58"/>
        <v>-1514.014699734093</v>
      </c>
      <c r="H121" s="10">
        <f>G121/(1-(1/(1+$B$1))^(A119))</f>
        <v>-15985.28159269233</v>
      </c>
      <c r="L121" s="10"/>
      <c r="M121" s="10"/>
      <c r="N121" s="10"/>
      <c r="O121" s="10"/>
      <c r="P121" s="10"/>
      <c r="Q121" s="10"/>
      <c r="R121" s="10"/>
    </row>
    <row r="122" spans="1:18" x14ac:dyDescent="0.25">
      <c r="B122" s="10" t="s">
        <v>104</v>
      </c>
      <c r="C122" s="10">
        <v>1844.739812412708</v>
      </c>
      <c r="D122" s="10"/>
      <c r="E122" s="10"/>
      <c r="F122" s="10"/>
      <c r="G122" s="10"/>
      <c r="H122" s="10"/>
      <c r="L122" s="10"/>
      <c r="M122" s="10"/>
      <c r="N122" s="10"/>
      <c r="O122" s="10"/>
      <c r="P122" s="10"/>
      <c r="Q122" s="10"/>
      <c r="R122" s="10"/>
    </row>
    <row r="123" spans="1:18" x14ac:dyDescent="0.25">
      <c r="A123" s="6" t="s">
        <v>11</v>
      </c>
      <c r="B123" s="10"/>
      <c r="C123" s="10"/>
      <c r="D123" s="10"/>
      <c r="E123" s="10"/>
      <c r="F123" s="10"/>
      <c r="G123" s="10"/>
      <c r="H123" s="10"/>
      <c r="L123" s="10"/>
      <c r="M123" s="10"/>
      <c r="N123" s="10"/>
      <c r="O123" s="10"/>
      <c r="P123" s="10"/>
      <c r="Q123" s="10"/>
      <c r="R123" s="10"/>
    </row>
    <row r="124" spans="1:18" x14ac:dyDescent="0.25">
      <c r="A124" s="6" t="s">
        <v>78</v>
      </c>
      <c r="B124" s="10" t="s">
        <v>107</v>
      </c>
      <c r="C124" s="10" t="s">
        <v>98</v>
      </c>
      <c r="D124" s="10" t="s">
        <v>99</v>
      </c>
      <c r="E124" s="10" t="s">
        <v>100</v>
      </c>
      <c r="F124" s="10" t="s">
        <v>101</v>
      </c>
      <c r="G124" s="10" t="s">
        <v>102</v>
      </c>
      <c r="H124" s="10"/>
      <c r="L124" s="10"/>
      <c r="M124" s="10"/>
      <c r="N124" s="10"/>
      <c r="O124" s="10"/>
      <c r="P124" s="10"/>
      <c r="Q124" s="10"/>
      <c r="R124" s="10"/>
    </row>
    <row r="125" spans="1:18" x14ac:dyDescent="0.25">
      <c r="A125" s="6">
        <v>0</v>
      </c>
      <c r="B125" s="10">
        <v>964.17833333333328</v>
      </c>
      <c r="C125" s="10">
        <v>0</v>
      </c>
      <c r="D125" s="10">
        <f>C125-B125</f>
        <v>-964.17833333333328</v>
      </c>
      <c r="E125" s="10">
        <f>B125/(1+$B$1)^$A125</f>
        <v>964.17833333333328</v>
      </c>
      <c r="F125" s="10">
        <f>C125/(1+$B$1)^$A125</f>
        <v>0</v>
      </c>
      <c r="G125" s="10">
        <f>F125-E125</f>
        <v>-964.17833333333328</v>
      </c>
      <c r="H125" s="10"/>
      <c r="L125" s="10"/>
      <c r="M125" s="10"/>
      <c r="N125" s="10"/>
      <c r="O125" s="10"/>
      <c r="P125" s="10"/>
      <c r="Q125" s="10"/>
      <c r="R125" s="10"/>
    </row>
    <row r="126" spans="1:18" x14ac:dyDescent="0.25">
      <c r="A126" s="6">
        <v>1</v>
      </c>
      <c r="B126" s="10">
        <v>685.90959595959589</v>
      </c>
      <c r="C126" s="10">
        <v>0</v>
      </c>
      <c r="D126" s="10">
        <f>C126-B126</f>
        <v>-685.90959595959589</v>
      </c>
      <c r="E126" s="10">
        <f>B126/(1+$B$1)^$A126</f>
        <v>679.11841184118407</v>
      </c>
      <c r="F126" s="10">
        <f t="shared" ref="F126:F128" si="59">C126/(1+$B$1)^$A126</f>
        <v>0</v>
      </c>
      <c r="G126" s="10">
        <f>F126-E126</f>
        <v>-679.11841184118407</v>
      </c>
      <c r="H126" s="10"/>
      <c r="L126" s="10"/>
      <c r="M126" s="10"/>
      <c r="N126" s="10"/>
      <c r="O126" s="10"/>
      <c r="P126" s="10"/>
      <c r="Q126" s="10"/>
      <c r="R126" s="10"/>
    </row>
    <row r="127" spans="1:18" x14ac:dyDescent="0.25">
      <c r="A127" s="6">
        <v>2</v>
      </c>
      <c r="B127" s="10">
        <v>1276.4018032045042</v>
      </c>
      <c r="C127" s="10">
        <f>Työkaluvälilehti!$B$13*(A127-A126)*Työkaluvälilehti!$B$6</f>
        <v>1500</v>
      </c>
      <c r="D127" s="10">
        <f t="shared" ref="D127:D128" si="60">C127-B127</f>
        <v>223.59819679549582</v>
      </c>
      <c r="E127" s="10">
        <f>B127/(1+$B$1)^$A127</f>
        <v>1251.2516451372455</v>
      </c>
      <c r="F127" s="10">
        <f>C127/(1+$B$1)^$A127</f>
        <v>1470.4440741103813</v>
      </c>
      <c r="G127" s="10">
        <f>F127-E127</f>
        <v>219.19242897313575</v>
      </c>
      <c r="H127" s="10"/>
      <c r="L127" s="10"/>
      <c r="M127" s="10"/>
      <c r="N127" s="10"/>
      <c r="O127" s="10"/>
      <c r="P127" s="10"/>
      <c r="Q127" s="10"/>
      <c r="R127" s="10"/>
    </row>
    <row r="128" spans="1:18" x14ac:dyDescent="0.25">
      <c r="A128" s="6">
        <v>3</v>
      </c>
      <c r="B128" s="10">
        <v>1276.4018032045042</v>
      </c>
      <c r="C128" s="10">
        <f>Työkaluvälilehti!$B$13*(A128-A127)*Työkaluvälilehti!$B$6</f>
        <v>1500</v>
      </c>
      <c r="D128" s="10">
        <f t="shared" si="60"/>
        <v>223.59819679549582</v>
      </c>
      <c r="E128" s="10">
        <f t="shared" ref="E128:F133" si="61">B128/(1+$B$1)^$A128</f>
        <v>1238.863014987372</v>
      </c>
      <c r="F128" s="10">
        <f t="shared" si="59"/>
        <v>1455.8852218914667</v>
      </c>
      <c r="G128" s="10">
        <f t="shared" ref="G128" si="62">F128-E128</f>
        <v>217.02220690409467</v>
      </c>
      <c r="H128" s="10"/>
      <c r="L128" s="10"/>
      <c r="M128" s="10"/>
      <c r="N128" s="10"/>
      <c r="O128" s="10"/>
      <c r="P128" s="10"/>
      <c r="Q128" s="10"/>
      <c r="R128" s="10"/>
    </row>
    <row r="129" spans="1:18" x14ac:dyDescent="0.25">
      <c r="A129" s="6">
        <v>4</v>
      </c>
      <c r="B129" s="10">
        <v>1276.4018032045042</v>
      </c>
      <c r="C129" s="10">
        <f>Työkaluvälilehti!$B$13*(A129-A128)*Työkaluvälilehti!$B$6</f>
        <v>1500</v>
      </c>
      <c r="D129" s="10">
        <f>C129-B129</f>
        <v>223.59819679549582</v>
      </c>
      <c r="E129" s="10">
        <f t="shared" si="61"/>
        <v>1226.5970445419523</v>
      </c>
      <c r="F129" s="10">
        <f t="shared" si="61"/>
        <v>1441.4705167242244</v>
      </c>
      <c r="G129" s="10">
        <f>F129-E129</f>
        <v>214.87347218227205</v>
      </c>
      <c r="H129" s="10"/>
      <c r="L129" s="10"/>
      <c r="M129" s="10"/>
      <c r="N129" s="10"/>
      <c r="O129" s="10"/>
      <c r="P129" s="10"/>
      <c r="Q129" s="10"/>
      <c r="R129" s="10"/>
    </row>
    <row r="130" spans="1:18" x14ac:dyDescent="0.25">
      <c r="A130" s="6">
        <v>5</v>
      </c>
      <c r="B130" s="10">
        <v>1802.0945163827987</v>
      </c>
      <c r="C130" s="10">
        <f>Työkaluvälilehti!$B$13*(A130-A129)*Työkaluvälilehti!$B$6</f>
        <v>1500</v>
      </c>
      <c r="D130" s="10">
        <f>C130-B130</f>
        <v>-302.0945163827987</v>
      </c>
      <c r="E130" s="10">
        <f t="shared" si="61"/>
        <v>1714.6310981625111</v>
      </c>
      <c r="F130" s="10">
        <f t="shared" si="61"/>
        <v>1427.1985314101232</v>
      </c>
      <c r="G130" s="10">
        <f>F130-E130</f>
        <v>-287.43256675238786</v>
      </c>
      <c r="H130" s="10"/>
      <c r="L130" s="10"/>
      <c r="M130" s="10"/>
      <c r="N130" s="10"/>
      <c r="O130" s="10"/>
      <c r="P130" s="10"/>
      <c r="Q130" s="10"/>
      <c r="R130" s="10"/>
    </row>
    <row r="131" spans="1:18" x14ac:dyDescent="0.25">
      <c r="A131" s="6">
        <v>6</v>
      </c>
      <c r="B131" s="10">
        <v>1276.4018032045042</v>
      </c>
      <c r="C131" s="10">
        <f>Työkaluvälilehti!$B$13*(A131-A130)*Työkaluvälilehti!$B$6</f>
        <v>1500</v>
      </c>
      <c r="D131" s="10">
        <f>C131-B131</f>
        <v>223.59819679549582</v>
      </c>
      <c r="E131" s="10">
        <f t="shared" si="61"/>
        <v>1202.4282369786806</v>
      </c>
      <c r="F131" s="10">
        <f t="shared" si="61"/>
        <v>1413.0678528813098</v>
      </c>
      <c r="G131" s="10">
        <f>F131-E131</f>
        <v>210.6396159026292</v>
      </c>
      <c r="H131" s="10"/>
      <c r="L131" s="10"/>
      <c r="M131" s="10"/>
      <c r="N131" s="10"/>
      <c r="O131" s="10"/>
      <c r="P131" s="10"/>
      <c r="Q131" s="10"/>
      <c r="R131" s="10"/>
    </row>
    <row r="132" spans="1:18" x14ac:dyDescent="0.25">
      <c r="A132" s="6">
        <v>7</v>
      </c>
      <c r="B132" s="10">
        <v>1276.4018032045042</v>
      </c>
      <c r="C132" s="10">
        <f>Työkaluvälilehti!$B$13*(A132-A131)*Työkaluvälilehti!$B$6</f>
        <v>1500</v>
      </c>
      <c r="D132" s="10">
        <f t="shared" ref="D132:D133" si="63">C132-B132</f>
        <v>223.59819679549582</v>
      </c>
      <c r="E132" s="10">
        <f t="shared" si="61"/>
        <v>1190.5230069095851</v>
      </c>
      <c r="F132" s="10">
        <f t="shared" si="61"/>
        <v>1399.0770820607033</v>
      </c>
      <c r="G132" s="10">
        <f>F132-E132</f>
        <v>208.55407515111824</v>
      </c>
      <c r="H132" s="10"/>
      <c r="L132" s="10"/>
      <c r="M132" s="10"/>
      <c r="N132" s="10"/>
      <c r="O132" s="10"/>
      <c r="P132" s="10"/>
      <c r="Q132" s="10"/>
      <c r="R132" s="10"/>
    </row>
    <row r="133" spans="1:18" x14ac:dyDescent="0.25">
      <c r="A133" s="6">
        <v>8</v>
      </c>
      <c r="B133" s="10">
        <v>1276.4018032045042</v>
      </c>
      <c r="C133" s="10">
        <f>Työkaluvälilehti!$B$13*(A133-A132)*Työkaluvälilehti!$B$6</f>
        <v>1500</v>
      </c>
      <c r="D133" s="10">
        <f t="shared" si="63"/>
        <v>223.59819679549582</v>
      </c>
      <c r="E133" s="10">
        <f t="shared" si="61"/>
        <v>1178.7356504055294</v>
      </c>
      <c r="F133" s="10">
        <f>C133/(1+$B$1)^$A133</f>
        <v>1385.2248337234682</v>
      </c>
      <c r="G133" s="10">
        <f t="shared" ref="G133:G134" si="64">F133-E133</f>
        <v>206.4891833179388</v>
      </c>
      <c r="H133" s="10"/>
      <c r="L133" s="10"/>
      <c r="M133" s="10"/>
      <c r="N133" s="10"/>
      <c r="O133" s="10"/>
      <c r="P133" s="10"/>
      <c r="Q133" s="10"/>
      <c r="R133" s="10"/>
    </row>
    <row r="134" spans="1:18" x14ac:dyDescent="0.25">
      <c r="A134" s="6">
        <v>9</v>
      </c>
      <c r="B134" s="10">
        <v>1276.4018032045042</v>
      </c>
      <c r="C134" s="10">
        <f>Työkaluvälilehti!$B$13*(A134-A133)*Työkaluvälilehti!$B$6</f>
        <v>1500</v>
      </c>
      <c r="D134" s="10">
        <f>C134-B134</f>
        <v>223.59819679549582</v>
      </c>
      <c r="E134" s="10">
        <f>B134/(1+$B$1)^$A134</f>
        <v>1167.0650004015142</v>
      </c>
      <c r="F134" s="10">
        <f>C134/(1+$B$1)^$A134</f>
        <v>1371.5097363598695</v>
      </c>
      <c r="G134" s="10">
        <f t="shared" si="64"/>
        <v>204.4447359583553</v>
      </c>
      <c r="H134" s="10"/>
      <c r="L134" s="10"/>
      <c r="M134" s="10"/>
      <c r="N134" s="10"/>
      <c r="O134" s="10"/>
      <c r="P134" s="10"/>
      <c r="Q134" s="10"/>
      <c r="R134" s="10"/>
    </row>
    <row r="135" spans="1:18" x14ac:dyDescent="0.25">
      <c r="A135" s="6">
        <v>10</v>
      </c>
      <c r="B135" s="10">
        <v>651.18492042320304</v>
      </c>
      <c r="C135" s="10">
        <f>Työkaluvälilehti!$B$13*(A135-A134)*Työkaluvälilehti!$B$6</f>
        <v>1500</v>
      </c>
      <c r="D135" s="10">
        <f>C135-B135</f>
        <v>848.81507957679696</v>
      </c>
      <c r="E135" s="10">
        <f>B135/(1+$B$1)^$A135</f>
        <v>589.50921355191406</v>
      </c>
      <c r="F135" s="10">
        <f>C135/(1+$B$1)^$A135</f>
        <v>1357.9304320394747</v>
      </c>
      <c r="G135" s="10">
        <f>F135-E135</f>
        <v>768.42121848756062</v>
      </c>
      <c r="H135" s="10"/>
      <c r="L135" s="10"/>
      <c r="M135" s="10"/>
      <c r="N135" s="10"/>
      <c r="O135" s="10"/>
      <c r="P135" s="10"/>
      <c r="Q135" s="10"/>
      <c r="R135" s="10"/>
    </row>
    <row r="136" spans="1:18" x14ac:dyDescent="0.25">
      <c r="A136" s="6" t="s">
        <v>103</v>
      </c>
      <c r="B136" s="10" t="s">
        <v>107</v>
      </c>
      <c r="C136" s="10" t="s">
        <v>98</v>
      </c>
      <c r="D136" s="10" t="s">
        <v>99</v>
      </c>
      <c r="E136" s="10" t="s">
        <v>100</v>
      </c>
      <c r="F136" s="10" t="s">
        <v>101</v>
      </c>
      <c r="G136" s="10" t="s">
        <v>102</v>
      </c>
      <c r="H136" s="10" t="s">
        <v>83</v>
      </c>
      <c r="L136" s="10"/>
      <c r="M136" s="10"/>
      <c r="N136" s="10"/>
      <c r="O136" s="10"/>
      <c r="P136" s="10"/>
      <c r="Q136" s="10"/>
      <c r="R136" s="10"/>
    </row>
    <row r="137" spans="1:18" x14ac:dyDescent="0.25">
      <c r="B137" s="10">
        <f>SUM(B125:B135)</f>
        <v>13038.179988530461</v>
      </c>
      <c r="C137" s="10">
        <f t="shared" ref="C137:F137" si="65">SUM(C125:C135)</f>
        <v>13500</v>
      </c>
      <c r="D137" s="10">
        <f t="shared" si="65"/>
        <v>461.82001146953985</v>
      </c>
      <c r="E137" s="10">
        <f t="shared" si="65"/>
        <v>12402.90065625082</v>
      </c>
      <c r="F137" s="10">
        <f t="shared" si="65"/>
        <v>12721.808281201022</v>
      </c>
      <c r="G137" s="10">
        <f>SUM(G125:G135)</f>
        <v>318.90762495019942</v>
      </c>
      <c r="H137" s="10">
        <f>G137/(1-(1/(1+$B$1))^(A135))</f>
        <v>3367.092927024411</v>
      </c>
      <c r="L137" s="10"/>
      <c r="M137" s="10"/>
      <c r="N137" s="10"/>
      <c r="O137" s="10"/>
      <c r="P137" s="10"/>
      <c r="Q137" s="10"/>
      <c r="R137" s="10"/>
    </row>
  </sheetData>
  <sheetProtection selectLockedCells="1" selectUnlockedCells="1"/>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4387B2-84F3-428F-B285-60E6E003AA68}">
  <dimension ref="A1:W137"/>
  <sheetViews>
    <sheetView workbookViewId="0">
      <selection activeCell="I14" sqref="I14"/>
    </sheetView>
  </sheetViews>
  <sheetFormatPr defaultColWidth="4.7109375" defaultRowHeight="15" x14ac:dyDescent="0.25"/>
  <cols>
    <col min="1" max="1" width="4.85546875" style="6" bestFit="1" customWidth="1"/>
    <col min="2" max="7" width="6" style="6" bestFit="1" customWidth="1"/>
    <col min="8" max="8" width="8.85546875" style="6" bestFit="1" customWidth="1"/>
    <col min="9" max="9" width="14.5703125" style="6" customWidth="1"/>
    <col min="10" max="10" width="4.7109375" style="6"/>
    <col min="11" max="11" width="11.28515625" style="6" customWidth="1"/>
    <col min="12" max="16384" width="4.7109375" style="6"/>
  </cols>
  <sheetData>
    <row r="1" spans="1:23" x14ac:dyDescent="0.25">
      <c r="A1" s="6" t="s">
        <v>94</v>
      </c>
      <c r="B1" s="6">
        <v>0</v>
      </c>
    </row>
    <row r="3" spans="1:23" x14ac:dyDescent="0.25">
      <c r="A3" s="6" t="s">
        <v>95</v>
      </c>
    </row>
    <row r="4" spans="1:23" x14ac:dyDescent="0.25">
      <c r="A4" s="6" t="s">
        <v>78</v>
      </c>
      <c r="B4" s="6" t="s">
        <v>96</v>
      </c>
      <c r="C4" s="6" t="s">
        <v>97</v>
      </c>
      <c r="D4" s="6" t="s">
        <v>98</v>
      </c>
      <c r="E4" s="6" t="s">
        <v>99</v>
      </c>
      <c r="F4" s="6" t="s">
        <v>100</v>
      </c>
      <c r="G4" s="6" t="s">
        <v>101</v>
      </c>
      <c r="H4" s="6" t="s">
        <v>102</v>
      </c>
      <c r="T4" s="10"/>
      <c r="U4" s="10"/>
    </row>
    <row r="5" spans="1:23" x14ac:dyDescent="0.25">
      <c r="A5" s="6">
        <v>0</v>
      </c>
      <c r="B5" s="10">
        <v>2623.0520000000001</v>
      </c>
      <c r="C5" s="6">
        <v>0</v>
      </c>
      <c r="D5" s="10">
        <v>0</v>
      </c>
      <c r="E5" s="10">
        <f>D5-B5-C5</f>
        <v>-2623.0520000000001</v>
      </c>
      <c r="F5" s="10">
        <f>B5/(1+$B$1)^$A5+C5/(1+$B$1)^$A5</f>
        <v>2623.0520000000001</v>
      </c>
      <c r="G5" s="10">
        <f t="shared" ref="G5:G12" si="0">D5/(1+$B$1)^$A5</f>
        <v>0</v>
      </c>
      <c r="H5" s="10">
        <f>G5-F5</f>
        <v>-2623.0520000000001</v>
      </c>
      <c r="I5" s="10"/>
      <c r="K5" s="10">
        <f>E5/(1+$B$1)^(A5)</f>
        <v>-2623.0520000000001</v>
      </c>
      <c r="L5" s="10"/>
      <c r="M5" s="10"/>
      <c r="N5" s="10"/>
      <c r="O5" s="10"/>
      <c r="P5" s="10"/>
      <c r="Q5" s="10"/>
      <c r="R5" s="10"/>
    </row>
    <row r="6" spans="1:23" x14ac:dyDescent="0.25">
      <c r="A6" s="6">
        <v>1</v>
      </c>
      <c r="B6" s="10">
        <v>123.69</v>
      </c>
      <c r="C6" s="6">
        <v>0</v>
      </c>
      <c r="D6" s="10">
        <v>0</v>
      </c>
      <c r="E6" s="10">
        <f t="shared" ref="E6:E12" si="1">D6-B6-C6</f>
        <v>-123.69</v>
      </c>
      <c r="F6" s="10">
        <f t="shared" ref="F6" si="2">B6/(1+$B$1)^$A6+C6/(1+$B$1)^$A6</f>
        <v>123.69</v>
      </c>
      <c r="G6" s="10">
        <f t="shared" si="0"/>
        <v>0</v>
      </c>
      <c r="H6" s="10">
        <f>G6-F6</f>
        <v>-123.69</v>
      </c>
      <c r="I6" s="10"/>
      <c r="K6" s="10">
        <f t="shared" ref="K6:K12" si="3">E6/(1+$B$1)^(A6)</f>
        <v>-123.69</v>
      </c>
      <c r="L6" s="10"/>
      <c r="M6" s="10"/>
      <c r="N6" s="10"/>
      <c r="O6" s="10"/>
      <c r="P6" s="10"/>
      <c r="Q6" s="10"/>
      <c r="R6" s="10"/>
      <c r="S6" s="13"/>
      <c r="T6" s="10"/>
      <c r="U6" s="10"/>
      <c r="V6" s="10"/>
      <c r="W6" s="10"/>
    </row>
    <row r="7" spans="1:23" x14ac:dyDescent="0.25">
      <c r="A7" s="6">
        <v>5</v>
      </c>
      <c r="B7" s="10">
        <v>366.1198</v>
      </c>
      <c r="C7" s="6">
        <f>750.215+224.759*Laskuri!$B$13-1.873*Laskuri!$B$13^2</f>
        <v>1827.1849999999997</v>
      </c>
      <c r="D7" s="10">
        <f>Työkaluvälilehti!$B$10*(A7-A6)*Työkaluvälilehti!$B$2</f>
        <v>2510.2560000000003</v>
      </c>
      <c r="E7" s="10">
        <f>D7-B7-C7</f>
        <v>316.95120000000065</v>
      </c>
      <c r="F7" s="10">
        <f t="shared" ref="F7:F12" si="4">B7/(1+$B$1)^$A7+C7/(1+$B$1)^$A7</f>
        <v>2193.3047999999999</v>
      </c>
      <c r="G7" s="10">
        <f t="shared" si="0"/>
        <v>2510.2560000000003</v>
      </c>
      <c r="H7" s="10">
        <f t="shared" ref="H7:H11" si="5">G7-F7</f>
        <v>316.95120000000043</v>
      </c>
      <c r="I7" s="10"/>
      <c r="K7" s="10">
        <f t="shared" si="3"/>
        <v>316.95120000000065</v>
      </c>
      <c r="L7" s="10"/>
      <c r="M7" s="10"/>
      <c r="N7" s="10"/>
      <c r="O7" s="10"/>
      <c r="P7" s="10"/>
      <c r="Q7" s="10"/>
      <c r="R7" s="10"/>
      <c r="S7" s="13"/>
    </row>
    <row r="8" spans="1:23" x14ac:dyDescent="0.25">
      <c r="A8" s="6">
        <v>9</v>
      </c>
      <c r="B8" s="10">
        <v>366.1198</v>
      </c>
      <c r="C8" s="6">
        <f>750.215+224.759*Laskuri!$B$13-1.873*Laskuri!$B$13^2</f>
        <v>1827.1849999999997</v>
      </c>
      <c r="D8" s="10">
        <f>Työkaluvälilehti!$B$10*(A8-A7)*Työkaluvälilehti!$B$2</f>
        <v>2510.2560000000003</v>
      </c>
      <c r="E8" s="10">
        <f>D8-B8-C8</f>
        <v>316.95120000000065</v>
      </c>
      <c r="F8" s="10">
        <f t="shared" si="4"/>
        <v>2193.3047999999999</v>
      </c>
      <c r="G8" s="10">
        <f t="shared" si="0"/>
        <v>2510.2560000000003</v>
      </c>
      <c r="H8" s="10">
        <f t="shared" si="5"/>
        <v>316.95120000000043</v>
      </c>
      <c r="I8" s="10"/>
      <c r="K8" s="10">
        <f t="shared" si="3"/>
        <v>316.95120000000065</v>
      </c>
      <c r="L8" s="10"/>
      <c r="M8" s="10"/>
      <c r="N8" s="10"/>
      <c r="O8" s="10"/>
      <c r="P8" s="10"/>
      <c r="Q8" s="10"/>
      <c r="R8" s="10"/>
      <c r="S8" s="13"/>
    </row>
    <row r="9" spans="1:23" x14ac:dyDescent="0.25">
      <c r="A9" s="6">
        <v>13</v>
      </c>
      <c r="B9" s="10">
        <v>366.1198</v>
      </c>
      <c r="C9" s="6">
        <f>750.215+224.759*Laskuri!$B$13-1.873*Laskuri!$B$13^2</f>
        <v>1827.1849999999997</v>
      </c>
      <c r="D9" s="10">
        <f>Työkaluvälilehti!$B$10*(A9-A8)*Työkaluvälilehti!$B$2</f>
        <v>2510.2560000000003</v>
      </c>
      <c r="E9" s="10">
        <f>D9-B9-C9</f>
        <v>316.95120000000065</v>
      </c>
      <c r="F9" s="10">
        <f t="shared" si="4"/>
        <v>2193.3047999999999</v>
      </c>
      <c r="G9" s="10">
        <f t="shared" si="0"/>
        <v>2510.2560000000003</v>
      </c>
      <c r="H9" s="10">
        <f t="shared" si="5"/>
        <v>316.95120000000043</v>
      </c>
      <c r="I9" s="10"/>
      <c r="K9" s="10">
        <f t="shared" si="3"/>
        <v>316.95120000000065</v>
      </c>
      <c r="L9" s="10"/>
      <c r="M9" s="10"/>
      <c r="N9" s="10"/>
      <c r="O9" s="10"/>
      <c r="P9" s="10"/>
      <c r="Q9" s="10"/>
      <c r="R9" s="10"/>
      <c r="S9" s="13"/>
    </row>
    <row r="10" spans="1:23" x14ac:dyDescent="0.25">
      <c r="A10" s="6">
        <v>17</v>
      </c>
      <c r="B10" s="10">
        <v>366.1198</v>
      </c>
      <c r="C10" s="6">
        <f>750.215+224.759*Laskuri!$B$13-1.873*Laskuri!$B$13^2</f>
        <v>1827.1849999999997</v>
      </c>
      <c r="D10" s="10">
        <f>Työkaluvälilehti!$B$10*(A10-A9)*Työkaluvälilehti!$B$2</f>
        <v>2510.2560000000003</v>
      </c>
      <c r="E10" s="10">
        <f t="shared" si="1"/>
        <v>316.95120000000065</v>
      </c>
      <c r="F10" s="10">
        <f t="shared" si="4"/>
        <v>2193.3047999999999</v>
      </c>
      <c r="G10" s="10">
        <f t="shared" si="0"/>
        <v>2510.2560000000003</v>
      </c>
      <c r="H10" s="10">
        <f t="shared" si="5"/>
        <v>316.95120000000043</v>
      </c>
      <c r="I10" s="10"/>
      <c r="K10" s="10">
        <f t="shared" si="3"/>
        <v>316.95120000000065</v>
      </c>
      <c r="L10" s="10"/>
      <c r="M10" s="10"/>
      <c r="N10" s="10"/>
      <c r="O10" s="10"/>
      <c r="P10" s="10"/>
      <c r="Q10" s="10"/>
      <c r="R10" s="10"/>
      <c r="S10" s="13"/>
    </row>
    <row r="11" spans="1:23" x14ac:dyDescent="0.25">
      <c r="A11" s="6">
        <v>21</v>
      </c>
      <c r="B11" s="10">
        <v>59</v>
      </c>
      <c r="C11" s="6">
        <f>750.215+224.759*Laskuri!$B$13-1.873*Laskuri!$B$13^2</f>
        <v>1827.1849999999997</v>
      </c>
      <c r="D11" s="10">
        <f>Työkaluvälilehti!$B$10*(A11-A10)*Työkaluvälilehti!$B$2</f>
        <v>2510.2560000000003</v>
      </c>
      <c r="E11" s="10">
        <f t="shared" si="1"/>
        <v>624.07100000000059</v>
      </c>
      <c r="F11" s="10">
        <f t="shared" si="4"/>
        <v>1886.1849999999997</v>
      </c>
      <c r="G11" s="10">
        <f t="shared" si="0"/>
        <v>2510.2560000000003</v>
      </c>
      <c r="H11" s="10">
        <f t="shared" si="5"/>
        <v>624.07100000000059</v>
      </c>
      <c r="I11" s="10"/>
      <c r="K11" s="10">
        <f t="shared" si="3"/>
        <v>624.07100000000059</v>
      </c>
      <c r="L11" s="10"/>
      <c r="M11" s="10"/>
      <c r="N11" s="10"/>
      <c r="O11" s="10"/>
      <c r="P11" s="10"/>
      <c r="Q11" s="10"/>
      <c r="R11" s="10"/>
      <c r="S11" s="13"/>
    </row>
    <row r="12" spans="1:23" x14ac:dyDescent="0.25">
      <c r="A12" s="6">
        <v>22</v>
      </c>
      <c r="B12" s="10">
        <v>400.56279999999998</v>
      </c>
      <c r="C12" s="6">
        <v>0</v>
      </c>
      <c r="D12" s="10">
        <v>0</v>
      </c>
      <c r="E12" s="10">
        <f t="shared" si="1"/>
        <v>-400.56279999999998</v>
      </c>
      <c r="F12" s="10">
        <f t="shared" si="4"/>
        <v>400.56279999999998</v>
      </c>
      <c r="G12" s="10">
        <f t="shared" si="0"/>
        <v>0</v>
      </c>
      <c r="H12" s="10">
        <f>G12-F12</f>
        <v>-400.56279999999998</v>
      </c>
      <c r="I12" s="10"/>
      <c r="K12" s="10">
        <f t="shared" si="3"/>
        <v>-400.56279999999998</v>
      </c>
      <c r="L12" s="10"/>
      <c r="M12" s="10"/>
      <c r="N12" s="10"/>
      <c r="O12" s="10"/>
      <c r="P12" s="10"/>
      <c r="Q12" s="10"/>
      <c r="R12" s="10"/>
      <c r="S12" s="13"/>
    </row>
    <row r="13" spans="1:23" x14ac:dyDescent="0.25">
      <c r="A13" s="6" t="s">
        <v>103</v>
      </c>
      <c r="B13" s="10" t="s">
        <v>96</v>
      </c>
      <c r="C13" s="6" t="s">
        <v>97</v>
      </c>
      <c r="D13" s="10" t="s">
        <v>98</v>
      </c>
      <c r="E13" s="10" t="s">
        <v>99</v>
      </c>
      <c r="F13" s="10" t="s">
        <v>100</v>
      </c>
      <c r="G13" s="10" t="s">
        <v>101</v>
      </c>
      <c r="H13" s="10" t="s">
        <v>102</v>
      </c>
      <c r="I13" s="10" t="s">
        <v>83</v>
      </c>
      <c r="K13" s="10"/>
      <c r="L13" s="10"/>
      <c r="M13" s="10"/>
      <c r="N13" s="10"/>
      <c r="O13" s="10"/>
      <c r="P13" s="10"/>
      <c r="Q13" s="10"/>
      <c r="R13" s="10"/>
    </row>
    <row r="14" spans="1:23" x14ac:dyDescent="0.25">
      <c r="B14" s="10">
        <f t="shared" ref="B14:H14" si="6">SUM(B5:B12)</f>
        <v>4670.7839999999997</v>
      </c>
      <c r="C14" s="10">
        <f t="shared" si="6"/>
        <v>9135.9249999999993</v>
      </c>
      <c r="D14" s="10">
        <f t="shared" si="6"/>
        <v>12551.280000000002</v>
      </c>
      <c r="E14" s="10">
        <f t="shared" si="6"/>
        <v>-1255.4289999999974</v>
      </c>
      <c r="F14" s="10">
        <f t="shared" si="6"/>
        <v>13806.708999999999</v>
      </c>
      <c r="G14" s="10">
        <f t="shared" si="6"/>
        <v>12551.280000000002</v>
      </c>
      <c r="H14" s="10">
        <f t="shared" si="6"/>
        <v>-1255.4289999999978</v>
      </c>
      <c r="I14" s="10" t="e">
        <f>H14/(1-(1/(1+$B$1))^(A12))</f>
        <v>#DIV/0!</v>
      </c>
      <c r="K14" s="10">
        <f>SUM(K5:K12)</f>
        <v>-1255.4289999999974</v>
      </c>
      <c r="L14" s="10"/>
      <c r="M14" s="10"/>
      <c r="N14" s="10"/>
      <c r="O14" s="10"/>
      <c r="P14" s="10"/>
      <c r="Q14" s="10"/>
      <c r="R14" s="10"/>
    </row>
    <row r="15" spans="1:23" x14ac:dyDescent="0.25">
      <c r="B15" s="10" t="s">
        <v>104</v>
      </c>
      <c r="C15" s="10">
        <v>1397.5694928126527</v>
      </c>
      <c r="D15" s="10"/>
      <c r="E15" s="10"/>
      <c r="F15" s="10"/>
      <c r="G15" s="10"/>
      <c r="H15" s="10"/>
      <c r="K15" s="10"/>
      <c r="L15" s="10"/>
      <c r="M15" s="10"/>
      <c r="N15" s="10"/>
      <c r="O15" s="10"/>
      <c r="P15" s="10"/>
      <c r="Q15" s="10"/>
      <c r="R15" s="10"/>
    </row>
    <row r="16" spans="1:23" x14ac:dyDescent="0.25">
      <c r="B16" s="10"/>
      <c r="C16" s="10"/>
      <c r="D16" s="10"/>
      <c r="E16" s="10"/>
      <c r="F16" s="10"/>
      <c r="G16" s="10"/>
      <c r="H16" s="10"/>
      <c r="K16" s="10"/>
      <c r="L16" s="10"/>
      <c r="M16" s="10"/>
      <c r="N16" s="10"/>
      <c r="O16" s="10"/>
      <c r="P16" s="10"/>
      <c r="Q16" s="10"/>
      <c r="R16" s="10"/>
    </row>
    <row r="17" spans="1:18" x14ac:dyDescent="0.25">
      <c r="B17" s="10"/>
      <c r="C17" s="10"/>
      <c r="D17" s="10"/>
      <c r="E17" s="10"/>
      <c r="F17" s="10"/>
      <c r="G17" s="10"/>
      <c r="H17" s="10"/>
      <c r="K17" s="10"/>
      <c r="L17" s="10"/>
      <c r="M17" s="10"/>
      <c r="N17" s="10"/>
      <c r="O17" s="10"/>
      <c r="P17" s="10"/>
      <c r="Q17" s="10"/>
      <c r="R17" s="10"/>
    </row>
    <row r="18" spans="1:18" x14ac:dyDescent="0.25">
      <c r="A18" s="6" t="s">
        <v>105</v>
      </c>
      <c r="B18" s="10"/>
      <c r="C18" s="10"/>
      <c r="D18" s="10"/>
      <c r="E18" s="10"/>
      <c r="F18" s="10"/>
      <c r="G18" s="10"/>
      <c r="H18" s="10"/>
      <c r="K18" s="10"/>
      <c r="L18" s="10"/>
      <c r="M18" s="10"/>
      <c r="N18" s="10"/>
      <c r="O18" s="10"/>
      <c r="P18" s="10"/>
      <c r="Q18" s="10"/>
      <c r="R18" s="10"/>
    </row>
    <row r="19" spans="1:18" x14ac:dyDescent="0.25">
      <c r="A19" s="6" t="s">
        <v>78</v>
      </c>
      <c r="B19" s="10" t="s">
        <v>96</v>
      </c>
      <c r="C19" s="6" t="s">
        <v>97</v>
      </c>
      <c r="D19" s="10" t="s">
        <v>98</v>
      </c>
      <c r="E19" s="10" t="s">
        <v>99</v>
      </c>
      <c r="F19" s="10" t="s">
        <v>100</v>
      </c>
      <c r="G19" s="10" t="s">
        <v>101</v>
      </c>
      <c r="H19" s="10" t="s">
        <v>102</v>
      </c>
      <c r="I19" s="10"/>
      <c r="K19" s="10"/>
      <c r="L19" s="10"/>
      <c r="M19" s="10"/>
      <c r="N19" s="10"/>
      <c r="O19" s="10"/>
      <c r="P19" s="10"/>
      <c r="Q19" s="10"/>
      <c r="R19" s="10"/>
    </row>
    <row r="20" spans="1:18" x14ac:dyDescent="0.25">
      <c r="A20" s="6">
        <v>0</v>
      </c>
      <c r="B20" s="10">
        <v>2707.34</v>
      </c>
      <c r="C20" s="6">
        <v>0</v>
      </c>
      <c r="D20" s="10">
        <v>0</v>
      </c>
      <c r="E20" s="10">
        <f>D20-B20-C20</f>
        <v>-2707.34</v>
      </c>
      <c r="F20" s="10">
        <f>B20/(1+$B$1)^$A20+C20/(1+$B$1)^$A20</f>
        <v>2707.34</v>
      </c>
      <c r="G20" s="10">
        <f t="shared" ref="G20:G27" si="7">D20/(1+$B$1)^$A20</f>
        <v>0</v>
      </c>
      <c r="H20" s="10">
        <f>G20-F20</f>
        <v>-2707.34</v>
      </c>
      <c r="I20" s="10"/>
      <c r="K20" s="10">
        <f>E20/(1+$B$1)^(A20)</f>
        <v>-2707.34</v>
      </c>
      <c r="L20" s="10"/>
      <c r="M20" s="10"/>
      <c r="N20" s="10"/>
      <c r="O20" s="10"/>
      <c r="P20" s="10"/>
      <c r="Q20" s="10"/>
      <c r="R20" s="10"/>
    </row>
    <row r="21" spans="1:18" x14ac:dyDescent="0.25">
      <c r="A21" s="6">
        <v>1</v>
      </c>
      <c r="B21" s="10">
        <v>320.15999999999997</v>
      </c>
      <c r="C21" s="6">
        <v>0</v>
      </c>
      <c r="D21" s="10">
        <v>0</v>
      </c>
      <c r="E21" s="10">
        <f t="shared" ref="E21:E27" si="8">D21-B21-C21</f>
        <v>-320.15999999999997</v>
      </c>
      <c r="F21" s="10">
        <f t="shared" ref="F21:F27" si="9">B21/(1+$B$1)^$A21+C21/(1+$B$1)^$A21</f>
        <v>320.15999999999997</v>
      </c>
      <c r="G21" s="10">
        <f t="shared" si="7"/>
        <v>0</v>
      </c>
      <c r="H21" s="10">
        <f>G21-F21</f>
        <v>-320.15999999999997</v>
      </c>
      <c r="I21" s="10"/>
      <c r="K21" s="10">
        <f t="shared" ref="K21:K27" si="10">E21/(1+$B$1)^(A21)</f>
        <v>-320.15999999999997</v>
      </c>
      <c r="L21" s="10"/>
      <c r="M21" s="10"/>
      <c r="N21" s="10"/>
      <c r="O21" s="10"/>
      <c r="P21" s="10"/>
      <c r="Q21" s="10"/>
      <c r="R21" s="10"/>
    </row>
    <row r="22" spans="1:18" x14ac:dyDescent="0.25">
      <c r="A22" s="6">
        <v>5</v>
      </c>
      <c r="B22" s="6">
        <v>441.2</v>
      </c>
      <c r="C22" s="6">
        <f>750.215+224.759*Laskuri!$B$13-1.873*Laskuri!$B$13^2</f>
        <v>1827.1849999999997</v>
      </c>
      <c r="D22" s="10">
        <f>Työkaluvälilehti!$B$10*(A22-A21)*Työkaluvälilehti!$B$2</f>
        <v>2510.2560000000003</v>
      </c>
      <c r="E22" s="10">
        <f>D22-B22-C22</f>
        <v>241.87100000000078</v>
      </c>
      <c r="F22" s="10">
        <f>B22/(1+$B$1)^$A22+C22/(1+$B$1)^$A22</f>
        <v>2268.3849999999998</v>
      </c>
      <c r="G22" s="10">
        <f t="shared" si="7"/>
        <v>2510.2560000000003</v>
      </c>
      <c r="H22" s="10">
        <f t="shared" ref="H22:H26" si="11">G22-F22</f>
        <v>241.87100000000055</v>
      </c>
      <c r="I22" s="10"/>
      <c r="K22" s="10">
        <f t="shared" si="10"/>
        <v>241.87100000000078</v>
      </c>
      <c r="L22" s="10"/>
      <c r="M22" s="10"/>
      <c r="N22" s="10"/>
      <c r="O22" s="10"/>
      <c r="P22" s="10"/>
      <c r="Q22" s="10"/>
      <c r="R22" s="10"/>
    </row>
    <row r="23" spans="1:18" x14ac:dyDescent="0.25">
      <c r="A23" s="6">
        <v>9</v>
      </c>
      <c r="B23" s="6">
        <v>441.2</v>
      </c>
      <c r="C23" s="6">
        <f>750.215+224.759*Laskuri!$B$13-1.873*Laskuri!$B$13^2</f>
        <v>1827.1849999999997</v>
      </c>
      <c r="D23" s="10">
        <f>Työkaluvälilehti!$B$10*(A23-A22)*Työkaluvälilehti!$B$2</f>
        <v>2510.2560000000003</v>
      </c>
      <c r="E23" s="10">
        <f>D23-B23-C23</f>
        <v>241.87100000000078</v>
      </c>
      <c r="F23" s="10">
        <f>B23/(1+$B$1)^$A23+C23/(1+$B$1)^$A23</f>
        <v>2268.3849999999998</v>
      </c>
      <c r="G23" s="10">
        <f t="shared" si="7"/>
        <v>2510.2560000000003</v>
      </c>
      <c r="H23" s="10">
        <f t="shared" si="11"/>
        <v>241.87100000000055</v>
      </c>
      <c r="I23" s="10"/>
      <c r="K23" s="10">
        <f t="shared" si="10"/>
        <v>241.87100000000078</v>
      </c>
      <c r="L23" s="10"/>
      <c r="M23" s="10"/>
      <c r="N23" s="10"/>
      <c r="O23" s="10"/>
      <c r="P23" s="10"/>
      <c r="Q23" s="10"/>
      <c r="R23" s="10"/>
    </row>
    <row r="24" spans="1:18" x14ac:dyDescent="0.25">
      <c r="A24" s="6">
        <v>13</v>
      </c>
      <c r="B24" s="6">
        <v>441.2</v>
      </c>
      <c r="C24" s="6">
        <f>750.215+224.759*Laskuri!$B$13-1.873*Laskuri!$B$13^2</f>
        <v>1827.1849999999997</v>
      </c>
      <c r="D24" s="10">
        <f>Työkaluvälilehti!$B$10*(A24-A23)*Työkaluvälilehti!$B$2</f>
        <v>2510.2560000000003</v>
      </c>
      <c r="E24" s="10">
        <f>D24-B24-C24</f>
        <v>241.87100000000078</v>
      </c>
      <c r="F24" s="10">
        <f>B24/(1+$B$1)^$A24+C24/(1+$B$1)^$A24</f>
        <v>2268.3849999999998</v>
      </c>
      <c r="G24" s="10">
        <f t="shared" si="7"/>
        <v>2510.2560000000003</v>
      </c>
      <c r="H24" s="10">
        <f t="shared" si="11"/>
        <v>241.87100000000055</v>
      </c>
      <c r="I24" s="10"/>
      <c r="K24" s="10">
        <f t="shared" si="10"/>
        <v>241.87100000000078</v>
      </c>
      <c r="L24" s="10"/>
      <c r="M24" s="10"/>
      <c r="N24" s="10"/>
      <c r="O24" s="10"/>
      <c r="P24" s="10"/>
      <c r="Q24" s="10"/>
      <c r="R24" s="10"/>
    </row>
    <row r="25" spans="1:18" x14ac:dyDescent="0.25">
      <c r="A25" s="6">
        <v>17</v>
      </c>
      <c r="B25" s="6">
        <v>441.2</v>
      </c>
      <c r="C25" s="6">
        <f>750.215+224.759*Laskuri!$B$13-1.873*Laskuri!$B$13^2</f>
        <v>1827.1849999999997</v>
      </c>
      <c r="D25" s="10">
        <f>Työkaluvälilehti!$B$10*(A25-A24)*Työkaluvälilehti!$B$2</f>
        <v>2510.2560000000003</v>
      </c>
      <c r="E25" s="10">
        <f t="shared" si="8"/>
        <v>241.87100000000078</v>
      </c>
      <c r="F25" s="10">
        <f t="shared" si="9"/>
        <v>2268.3849999999998</v>
      </c>
      <c r="G25" s="10">
        <f t="shared" si="7"/>
        <v>2510.2560000000003</v>
      </c>
      <c r="H25" s="10">
        <f t="shared" si="11"/>
        <v>241.87100000000055</v>
      </c>
      <c r="I25" s="10"/>
      <c r="K25" s="10">
        <f t="shared" si="10"/>
        <v>241.87100000000078</v>
      </c>
      <c r="L25" s="10"/>
      <c r="M25" s="10"/>
      <c r="N25" s="10"/>
      <c r="O25" s="10"/>
      <c r="P25" s="10"/>
      <c r="Q25" s="10"/>
      <c r="R25" s="10"/>
    </row>
    <row r="26" spans="1:18" x14ac:dyDescent="0.25">
      <c r="A26" s="6">
        <v>21</v>
      </c>
      <c r="B26" s="10">
        <v>59</v>
      </c>
      <c r="C26" s="6">
        <f>750.215+224.759*Laskuri!$B$13-1.873*Laskuri!$B$13^2</f>
        <v>1827.1849999999997</v>
      </c>
      <c r="D26" s="10">
        <f>Työkaluvälilehti!$B$10*(A26-A25)*Työkaluvälilehti!$B$2</f>
        <v>2510.2560000000003</v>
      </c>
      <c r="E26" s="10">
        <f t="shared" si="8"/>
        <v>624.07100000000059</v>
      </c>
      <c r="F26" s="10">
        <f t="shared" si="9"/>
        <v>1886.1849999999997</v>
      </c>
      <c r="G26" s="10">
        <f t="shared" si="7"/>
        <v>2510.2560000000003</v>
      </c>
      <c r="H26" s="10">
        <f t="shared" si="11"/>
        <v>624.07100000000059</v>
      </c>
      <c r="I26" s="10"/>
      <c r="K26" s="10">
        <f t="shared" si="10"/>
        <v>624.07100000000059</v>
      </c>
      <c r="L26" s="10"/>
      <c r="M26" s="10"/>
      <c r="N26" s="10"/>
      <c r="O26" s="10"/>
      <c r="P26" s="10"/>
      <c r="Q26" s="10"/>
      <c r="R26" s="10"/>
    </row>
    <row r="27" spans="1:18" x14ac:dyDescent="0.25">
      <c r="A27" s="6">
        <v>22</v>
      </c>
      <c r="B27" s="10">
        <v>400.56279999999998</v>
      </c>
      <c r="C27" s="6">
        <v>0</v>
      </c>
      <c r="D27" s="10">
        <v>0</v>
      </c>
      <c r="E27" s="10">
        <f t="shared" si="8"/>
        <v>-400.56279999999998</v>
      </c>
      <c r="F27" s="10">
        <f t="shared" si="9"/>
        <v>400.56279999999998</v>
      </c>
      <c r="G27" s="10">
        <f t="shared" si="7"/>
        <v>0</v>
      </c>
      <c r="H27" s="10">
        <f>G27-F27</f>
        <v>-400.56279999999998</v>
      </c>
      <c r="I27" s="10"/>
      <c r="K27" s="10">
        <f t="shared" si="10"/>
        <v>-400.56279999999998</v>
      </c>
      <c r="L27" s="10"/>
      <c r="M27" s="10"/>
      <c r="N27" s="10"/>
      <c r="O27" s="10"/>
      <c r="P27" s="10"/>
      <c r="Q27" s="10"/>
      <c r="R27" s="10"/>
    </row>
    <row r="28" spans="1:18" x14ac:dyDescent="0.25">
      <c r="A28" s="6" t="s">
        <v>103</v>
      </c>
      <c r="B28" s="10" t="s">
        <v>96</v>
      </c>
      <c r="C28" s="6" t="s">
        <v>97</v>
      </c>
      <c r="D28" s="10" t="s">
        <v>98</v>
      </c>
      <c r="E28" s="10" t="s">
        <v>99</v>
      </c>
      <c r="F28" s="10" t="s">
        <v>100</v>
      </c>
      <c r="G28" s="10" t="s">
        <v>101</v>
      </c>
      <c r="H28" s="10" t="s">
        <v>102</v>
      </c>
      <c r="I28" s="10" t="s">
        <v>83</v>
      </c>
      <c r="K28" s="10"/>
      <c r="L28" s="10"/>
      <c r="M28" s="10"/>
      <c r="N28" s="10"/>
      <c r="O28" s="10"/>
      <c r="P28" s="10"/>
      <c r="Q28" s="10"/>
      <c r="R28" s="10"/>
    </row>
    <row r="29" spans="1:18" x14ac:dyDescent="0.25">
      <c r="B29" s="10">
        <f>SUM(B20:B27)</f>
        <v>5251.862799999999</v>
      </c>
      <c r="C29" s="10">
        <f>SUM(C20:C27)</f>
        <v>9135.9249999999993</v>
      </c>
      <c r="D29" s="10">
        <f>SUM(D20:D27)</f>
        <v>12551.280000000002</v>
      </c>
      <c r="E29" s="10">
        <f t="shared" ref="E29" si="12">SUM(E20:E27)</f>
        <v>-1836.5077999999953</v>
      </c>
      <c r="F29" s="10">
        <f>SUM(F20:F27)</f>
        <v>14387.7878</v>
      </c>
      <c r="G29" s="10">
        <f t="shared" ref="G29" si="13">SUM(G20:G27)</f>
        <v>12551.280000000002</v>
      </c>
      <c r="H29" s="10">
        <f>SUM(H20:H27)</f>
        <v>-1836.5077999999971</v>
      </c>
      <c r="I29" s="10" t="e">
        <f>H29/(1-(1/(1+$B$1))^(A27))</f>
        <v>#DIV/0!</v>
      </c>
      <c r="K29" s="10">
        <f>SUM(K20:K27)</f>
        <v>-1836.5077999999953</v>
      </c>
      <c r="L29" s="10"/>
      <c r="M29" s="10"/>
      <c r="N29" s="10"/>
      <c r="O29" s="10"/>
      <c r="P29" s="10"/>
      <c r="Q29" s="10"/>
      <c r="R29" s="10"/>
    </row>
    <row r="30" spans="1:18" x14ac:dyDescent="0.25">
      <c r="B30" s="10" t="s">
        <v>104</v>
      </c>
      <c r="C30" s="10">
        <v>1436.0586439748142</v>
      </c>
      <c r="D30" s="10"/>
      <c r="E30" s="10"/>
      <c r="F30" s="10"/>
      <c r="G30" s="10"/>
      <c r="H30" s="10"/>
      <c r="L30" s="10"/>
      <c r="M30" s="10"/>
      <c r="N30" s="10"/>
      <c r="O30" s="10"/>
      <c r="P30" s="10"/>
      <c r="Q30" s="10"/>
      <c r="R30" s="10"/>
    </row>
    <row r="31" spans="1:18" x14ac:dyDescent="0.25">
      <c r="A31" s="6" t="s">
        <v>106</v>
      </c>
      <c r="B31" s="10"/>
      <c r="C31" s="10"/>
      <c r="D31" s="10"/>
      <c r="E31" s="10"/>
      <c r="F31" s="10"/>
      <c r="G31" s="10"/>
      <c r="H31" s="10"/>
      <c r="L31" s="10"/>
      <c r="M31" s="10"/>
      <c r="N31" s="10"/>
      <c r="O31" s="10"/>
      <c r="P31" s="10"/>
      <c r="Q31" s="10"/>
      <c r="R31" s="10"/>
    </row>
    <row r="32" spans="1:18" x14ac:dyDescent="0.25">
      <c r="A32" s="6" t="s">
        <v>78</v>
      </c>
      <c r="B32" s="10" t="s">
        <v>107</v>
      </c>
      <c r="C32" s="10" t="s">
        <v>98</v>
      </c>
      <c r="D32" s="10" t="s">
        <v>99</v>
      </c>
      <c r="E32" s="10" t="s">
        <v>100</v>
      </c>
      <c r="F32" s="10" t="s">
        <v>101</v>
      </c>
      <c r="G32" s="10" t="s">
        <v>102</v>
      </c>
      <c r="H32" s="10"/>
      <c r="L32" s="10"/>
      <c r="M32" s="10"/>
      <c r="N32" s="10"/>
      <c r="O32" s="10"/>
      <c r="P32" s="10"/>
      <c r="Q32" s="10"/>
      <c r="R32" s="10"/>
    </row>
    <row r="33" spans="1:18" x14ac:dyDescent="0.25">
      <c r="A33" s="6">
        <v>0</v>
      </c>
      <c r="B33" s="10">
        <v>370</v>
      </c>
      <c r="C33" s="10">
        <v>0</v>
      </c>
      <c r="D33" s="10">
        <f>C33-B33</f>
        <v>-370</v>
      </c>
      <c r="E33" s="10">
        <f>B33/(1+$B$1)^$A33</f>
        <v>370</v>
      </c>
      <c r="F33" s="10">
        <f>C33/(1+$B$1)^$A33</f>
        <v>0</v>
      </c>
      <c r="G33" s="10">
        <f>F33-E33</f>
        <v>-370</v>
      </c>
      <c r="H33" s="10"/>
      <c r="L33" s="10"/>
      <c r="M33" s="10"/>
      <c r="N33" s="10"/>
      <c r="O33" s="10"/>
      <c r="P33" s="10"/>
      <c r="Q33" s="10"/>
      <c r="R33" s="10"/>
    </row>
    <row r="34" spans="1:18" x14ac:dyDescent="0.25">
      <c r="A34" s="6">
        <v>22</v>
      </c>
      <c r="B34" s="10">
        <v>4633.3675838602585</v>
      </c>
      <c r="C34" s="10" t="e">
        <f>Työkaluvälilehti!$B$2*('0 % korko'!A34-'0 % korko'!A33)*Työkaluvälilehti!$B$11</f>
        <v>#REF!</v>
      </c>
      <c r="D34" s="10" t="e">
        <f t="shared" ref="D34:D36" si="14">C34-B34</f>
        <v>#REF!</v>
      </c>
      <c r="E34" s="10">
        <f>B34/(1+$B$1)^$A34</f>
        <v>4633.3675838602585</v>
      </c>
      <c r="F34" s="10" t="e">
        <f t="shared" ref="F34:F36" si="15">C34/(1+$B$1)^$A34</f>
        <v>#REF!</v>
      </c>
      <c r="G34" s="10" t="e">
        <f>F34-E34</f>
        <v>#REF!</v>
      </c>
      <c r="H34" s="10"/>
      <c r="L34" s="10"/>
      <c r="M34" s="10"/>
      <c r="N34" s="10"/>
      <c r="O34" s="10"/>
      <c r="P34" s="10"/>
      <c r="Q34" s="10"/>
      <c r="R34" s="10"/>
    </row>
    <row r="35" spans="1:18" x14ac:dyDescent="0.25">
      <c r="A35" s="6">
        <v>43</v>
      </c>
      <c r="B35" s="10">
        <v>4633.3675838602585</v>
      </c>
      <c r="C35" s="10" t="e">
        <f>Työkaluvälilehti!$B$2*('0 % korko'!A35-'0 % korko'!A34)*Työkaluvälilehti!$B$11</f>
        <v>#REF!</v>
      </c>
      <c r="D35" s="10" t="e">
        <f t="shared" si="14"/>
        <v>#REF!</v>
      </c>
      <c r="E35" s="10">
        <f t="shared" ref="E35:E36" si="16">B35/(1+$B$1)^$A35</f>
        <v>4633.3675838602585</v>
      </c>
      <c r="F35" s="10" t="e">
        <f t="shared" si="15"/>
        <v>#REF!</v>
      </c>
      <c r="G35" s="10" t="e">
        <f t="shared" ref="G35:G36" si="17">F35-E35</f>
        <v>#REF!</v>
      </c>
      <c r="H35" s="10"/>
      <c r="L35" s="10"/>
      <c r="M35" s="10"/>
      <c r="N35" s="10"/>
      <c r="O35" s="10"/>
      <c r="P35" s="10"/>
      <c r="Q35" s="10"/>
      <c r="R35" s="10"/>
    </row>
    <row r="36" spans="1:18" x14ac:dyDescent="0.25">
      <c r="A36" s="6">
        <v>64</v>
      </c>
      <c r="B36" s="10">
        <v>5114.3867476233245</v>
      </c>
      <c r="C36" s="10" t="e">
        <f>Työkaluvälilehti!$B$2*('0 % korko'!A36-'0 % korko'!A35)*Työkaluvälilehti!$B$11</f>
        <v>#REF!</v>
      </c>
      <c r="D36" s="10" t="e">
        <f t="shared" si="14"/>
        <v>#REF!</v>
      </c>
      <c r="E36" s="10">
        <f t="shared" si="16"/>
        <v>5114.3867476233245</v>
      </c>
      <c r="F36" s="10" t="e">
        <f t="shared" si="15"/>
        <v>#REF!</v>
      </c>
      <c r="G36" s="10" t="e">
        <f t="shared" si="17"/>
        <v>#REF!</v>
      </c>
      <c r="H36" s="10"/>
      <c r="L36" s="10"/>
      <c r="M36" s="10"/>
      <c r="N36" s="10"/>
      <c r="O36" s="10"/>
      <c r="P36" s="10"/>
      <c r="Q36" s="10"/>
      <c r="R36" s="10"/>
    </row>
    <row r="37" spans="1:18" x14ac:dyDescent="0.25">
      <c r="A37" s="6">
        <v>86</v>
      </c>
      <c r="B37" s="10">
        <v>4633.3675838602585</v>
      </c>
      <c r="C37" s="10" t="e">
        <f>Työkaluvälilehti!$B$2*('0 % korko'!A37-'0 % korko'!A36)*Työkaluvälilehti!$B$11</f>
        <v>#REF!</v>
      </c>
      <c r="D37" s="10" t="e">
        <f>C37-B37</f>
        <v>#REF!</v>
      </c>
      <c r="E37" s="10">
        <f>B37/(1+$B$1)^$A37</f>
        <v>4633.3675838602585</v>
      </c>
      <c r="F37" s="10" t="e">
        <f>C37/(1+$B$1)^$A37</f>
        <v>#REF!</v>
      </c>
      <c r="G37" s="10" t="e">
        <f>F37-E37</f>
        <v>#REF!</v>
      </c>
      <c r="H37" s="10"/>
      <c r="L37" s="10"/>
      <c r="M37" s="10"/>
      <c r="N37" s="10"/>
      <c r="O37" s="10"/>
      <c r="P37" s="10"/>
      <c r="Q37" s="10"/>
      <c r="R37" s="10"/>
    </row>
    <row r="38" spans="1:18" x14ac:dyDescent="0.25">
      <c r="A38" s="6" t="s">
        <v>103</v>
      </c>
      <c r="B38" s="10" t="s">
        <v>107</v>
      </c>
      <c r="C38" s="10" t="s">
        <v>98</v>
      </c>
      <c r="D38" s="10" t="s">
        <v>99</v>
      </c>
      <c r="E38" s="10" t="s">
        <v>100</v>
      </c>
      <c r="F38" s="10" t="s">
        <v>101</v>
      </c>
      <c r="G38" s="10" t="s">
        <v>102</v>
      </c>
      <c r="H38" s="10" t="s">
        <v>83</v>
      </c>
      <c r="L38" s="10"/>
      <c r="M38" s="10"/>
      <c r="N38" s="10"/>
      <c r="O38" s="10"/>
      <c r="P38" s="10"/>
      <c r="Q38" s="10"/>
      <c r="R38" s="10"/>
    </row>
    <row r="39" spans="1:18" x14ac:dyDescent="0.25">
      <c r="B39" s="10">
        <f t="shared" ref="B39:G39" si="18">SUM(B33:B37)</f>
        <v>19384.489499204101</v>
      </c>
      <c r="C39" s="10" t="e">
        <f t="shared" si="18"/>
        <v>#REF!</v>
      </c>
      <c r="D39" s="10" t="e">
        <f t="shared" si="18"/>
        <v>#REF!</v>
      </c>
      <c r="E39" s="10">
        <f t="shared" si="18"/>
        <v>19384.489499204101</v>
      </c>
      <c r="F39" s="10" t="e">
        <f t="shared" si="18"/>
        <v>#REF!</v>
      </c>
      <c r="G39" s="10" t="e">
        <f t="shared" si="18"/>
        <v>#REF!</v>
      </c>
      <c r="H39" s="10" t="e">
        <f>G33+G34+G35+G36+G37/(1-EXP(-$B$1*A37))</f>
        <v>#REF!</v>
      </c>
      <c r="L39" s="10"/>
      <c r="M39" s="10"/>
      <c r="N39" s="10"/>
      <c r="O39" s="10"/>
      <c r="P39" s="10"/>
      <c r="Q39" s="10"/>
      <c r="R39" s="10"/>
    </row>
    <row r="40" spans="1:18" x14ac:dyDescent="0.25">
      <c r="B40" s="10"/>
      <c r="C40" s="10"/>
      <c r="D40" s="10"/>
      <c r="E40" s="10"/>
      <c r="F40" s="10"/>
      <c r="G40" s="10"/>
      <c r="H40" s="10"/>
      <c r="L40" s="10"/>
      <c r="M40" s="10"/>
      <c r="N40" s="10"/>
      <c r="O40" s="10"/>
      <c r="P40" s="10"/>
      <c r="Q40" s="10"/>
      <c r="R40" s="10"/>
    </row>
    <row r="41" spans="1:18" x14ac:dyDescent="0.25">
      <c r="B41" s="10"/>
      <c r="C41" s="10"/>
      <c r="D41" s="10"/>
      <c r="E41" s="10"/>
      <c r="F41" s="10"/>
      <c r="G41" s="10"/>
      <c r="H41" s="10"/>
      <c r="L41" s="10"/>
      <c r="M41" s="10"/>
      <c r="N41" s="10"/>
      <c r="O41" s="10"/>
      <c r="P41" s="10"/>
      <c r="Q41" s="10"/>
      <c r="R41" s="10"/>
    </row>
    <row r="42" spans="1:18" x14ac:dyDescent="0.25">
      <c r="B42" s="10" t="s">
        <v>104</v>
      </c>
      <c r="C42" s="10">
        <v>2803.0909820774596</v>
      </c>
      <c r="D42" s="10"/>
      <c r="E42" s="10"/>
      <c r="F42" s="10"/>
      <c r="G42" s="10"/>
      <c r="H42" s="10"/>
      <c r="L42" s="10"/>
      <c r="M42" s="10"/>
      <c r="N42" s="10"/>
      <c r="O42" s="10"/>
      <c r="P42" s="10"/>
      <c r="Q42" s="10"/>
      <c r="R42" s="10"/>
    </row>
    <row r="43" spans="1:18" x14ac:dyDescent="0.25">
      <c r="A43" s="1" t="s">
        <v>126</v>
      </c>
      <c r="B43" s="10"/>
      <c r="C43" s="10"/>
      <c r="D43" s="10"/>
      <c r="E43" s="10"/>
      <c r="F43" s="10"/>
      <c r="G43" s="10"/>
      <c r="H43" s="10"/>
      <c r="L43" s="10"/>
      <c r="M43" s="10"/>
      <c r="N43" s="10"/>
      <c r="O43" s="10"/>
      <c r="P43" s="10"/>
      <c r="Q43" s="10"/>
      <c r="R43" s="10"/>
    </row>
    <row r="44" spans="1:18" x14ac:dyDescent="0.25">
      <c r="A44" s="6" t="s">
        <v>78</v>
      </c>
      <c r="B44" s="10" t="s">
        <v>107</v>
      </c>
      <c r="C44" s="10" t="s">
        <v>98</v>
      </c>
      <c r="D44" s="10" t="s">
        <v>99</v>
      </c>
      <c r="E44" s="10" t="s">
        <v>100</v>
      </c>
      <c r="F44" s="10" t="s">
        <v>101</v>
      </c>
      <c r="G44" s="10" t="s">
        <v>102</v>
      </c>
      <c r="H44" s="10"/>
      <c r="L44" s="10"/>
      <c r="M44" s="10"/>
      <c r="N44" s="10"/>
      <c r="O44" s="10"/>
      <c r="P44" s="10"/>
      <c r="Q44" s="10"/>
      <c r="R44" s="10"/>
    </row>
    <row r="45" spans="1:18" x14ac:dyDescent="0.25">
      <c r="A45" s="6">
        <v>0</v>
      </c>
      <c r="B45" s="10">
        <v>1241.0517070707067</v>
      </c>
      <c r="C45" s="10">
        <v>0</v>
      </c>
      <c r="D45" s="10">
        <f>C45-B45</f>
        <v>-1241.0517070707067</v>
      </c>
      <c r="E45" s="10">
        <f>B45/(1+$B$1)^$A45</f>
        <v>1241.0517070707067</v>
      </c>
      <c r="F45" s="10">
        <f>C45/(1+$B$1)^$A45</f>
        <v>0</v>
      </c>
      <c r="G45" s="10">
        <f>F45-E45</f>
        <v>-1241.0517070707067</v>
      </c>
      <c r="H45" s="10"/>
      <c r="L45" s="10"/>
      <c r="M45" s="10"/>
      <c r="N45" s="10"/>
      <c r="O45" s="10"/>
      <c r="P45" s="10"/>
      <c r="Q45" s="10"/>
      <c r="R45" s="10"/>
    </row>
    <row r="46" spans="1:18" x14ac:dyDescent="0.25">
      <c r="A46" s="6">
        <v>1</v>
      </c>
      <c r="B46" s="10">
        <v>88.968222222222209</v>
      </c>
      <c r="C46" s="10">
        <v>0</v>
      </c>
      <c r="D46" s="10">
        <f t="shared" ref="D46:D48" si="19">C46-B46</f>
        <v>-88.968222222222209</v>
      </c>
      <c r="E46" s="10">
        <f>B46/(1+$B$1)^$A46</f>
        <v>88.968222222222209</v>
      </c>
      <c r="F46" s="10">
        <f t="shared" ref="F46:F48" si="20">C46/(1+$B$1)^$A46</f>
        <v>0</v>
      </c>
      <c r="G46" s="10">
        <f>F46-E46</f>
        <v>-88.968222222222209</v>
      </c>
      <c r="H46" s="10"/>
      <c r="L46" s="10"/>
      <c r="M46" s="10"/>
      <c r="N46" s="10"/>
      <c r="O46" s="10"/>
      <c r="P46" s="10"/>
      <c r="Q46" s="10"/>
      <c r="R46" s="10"/>
    </row>
    <row r="47" spans="1:18" x14ac:dyDescent="0.25">
      <c r="A47" s="6">
        <v>2</v>
      </c>
      <c r="B47" s="10">
        <v>742.82444444444434</v>
      </c>
      <c r="C47" s="10">
        <f>Työkaluvälilehti!$B$12*(A47-A46)*Työkaluvälilehti!$B$7</f>
        <v>1236</v>
      </c>
      <c r="D47" s="10">
        <f t="shared" si="19"/>
        <v>493.17555555555566</v>
      </c>
      <c r="E47" s="10">
        <f t="shared" ref="E47:F54" si="21">B47/(1+$B$1)^$A47</f>
        <v>742.82444444444434</v>
      </c>
      <c r="F47" s="10">
        <f t="shared" si="20"/>
        <v>1236</v>
      </c>
      <c r="G47" s="10">
        <f t="shared" ref="G47:G48" si="22">F47-E47</f>
        <v>493.17555555555566</v>
      </c>
      <c r="H47" s="10"/>
      <c r="L47" s="10"/>
      <c r="M47" s="10"/>
      <c r="N47" s="10"/>
      <c r="O47" s="10"/>
      <c r="P47" s="10"/>
      <c r="Q47" s="10"/>
      <c r="R47" s="10"/>
    </row>
    <row r="48" spans="1:18" x14ac:dyDescent="0.25">
      <c r="A48" s="6">
        <v>3</v>
      </c>
      <c r="B48" s="10">
        <v>742.82444444444434</v>
      </c>
      <c r="C48" s="10">
        <f>Työkaluvälilehti!$B$12*(A48-A47)*Työkaluvälilehti!$B$7</f>
        <v>1236</v>
      </c>
      <c r="D48" s="10">
        <f t="shared" si="19"/>
        <v>493.17555555555566</v>
      </c>
      <c r="E48" s="10">
        <f t="shared" si="21"/>
        <v>742.82444444444434</v>
      </c>
      <c r="F48" s="10">
        <f t="shared" si="20"/>
        <v>1236</v>
      </c>
      <c r="G48" s="10">
        <f t="shared" si="22"/>
        <v>493.17555555555566</v>
      </c>
      <c r="H48" s="10"/>
      <c r="L48" s="10"/>
      <c r="M48" s="10"/>
      <c r="N48" s="10"/>
      <c r="O48" s="10"/>
      <c r="P48" s="10"/>
      <c r="Q48" s="10"/>
      <c r="R48" s="10"/>
    </row>
    <row r="49" spans="1:18" x14ac:dyDescent="0.25">
      <c r="A49" s="6">
        <v>4</v>
      </c>
      <c r="B49" s="10">
        <v>742.82444444444434</v>
      </c>
      <c r="C49" s="10">
        <f>Työkaluvälilehti!$B$12*(A49-A48)*Työkaluvälilehti!$B$7</f>
        <v>1236</v>
      </c>
      <c r="D49" s="10">
        <f>C49-B49</f>
        <v>493.17555555555566</v>
      </c>
      <c r="E49" s="10">
        <f t="shared" si="21"/>
        <v>742.82444444444434</v>
      </c>
      <c r="F49" s="10">
        <f t="shared" si="21"/>
        <v>1236</v>
      </c>
      <c r="G49" s="10">
        <f>F49-E49</f>
        <v>493.17555555555566</v>
      </c>
      <c r="H49" s="10"/>
      <c r="L49" s="10"/>
      <c r="M49" s="10"/>
      <c r="N49" s="10"/>
      <c r="O49" s="10"/>
      <c r="P49" s="10"/>
      <c r="Q49" s="10"/>
      <c r="R49" s="10"/>
    </row>
    <row r="50" spans="1:18" x14ac:dyDescent="0.25">
      <c r="A50" s="6">
        <v>5</v>
      </c>
      <c r="B50" s="10">
        <v>742.82444444444434</v>
      </c>
      <c r="C50" s="10">
        <f>Työkaluvälilehti!$B$12*(A50-A49)*Työkaluvälilehti!$B$7</f>
        <v>1236</v>
      </c>
      <c r="D50" s="10">
        <f>C50-B50</f>
        <v>493.17555555555566</v>
      </c>
      <c r="E50" s="10">
        <f t="shared" si="21"/>
        <v>742.82444444444434</v>
      </c>
      <c r="F50" s="10">
        <f t="shared" si="21"/>
        <v>1236</v>
      </c>
      <c r="G50" s="10">
        <f>F50-E50</f>
        <v>493.17555555555566</v>
      </c>
      <c r="H50" s="10"/>
      <c r="L50" s="10"/>
      <c r="M50" s="10"/>
      <c r="N50" s="10"/>
      <c r="O50" s="10"/>
      <c r="P50" s="10"/>
      <c r="Q50" s="10"/>
      <c r="R50" s="10"/>
    </row>
    <row r="51" spans="1:18" x14ac:dyDescent="0.25">
      <c r="A51" s="6">
        <v>6</v>
      </c>
      <c r="B51" s="10">
        <v>742.82444444444434</v>
      </c>
      <c r="C51" s="10">
        <f>Työkaluvälilehti!$B$12*(A51-A50)*Työkaluvälilehti!$B$7</f>
        <v>1236</v>
      </c>
      <c r="D51" s="10">
        <f>C51-B51</f>
        <v>493.17555555555566</v>
      </c>
      <c r="E51" s="10">
        <f t="shared" si="21"/>
        <v>742.82444444444434</v>
      </c>
      <c r="F51" s="10">
        <f t="shared" si="21"/>
        <v>1236</v>
      </c>
      <c r="G51" s="10">
        <f>F51-E51</f>
        <v>493.17555555555566</v>
      </c>
      <c r="H51" s="10"/>
      <c r="L51" s="10"/>
      <c r="M51" s="10"/>
      <c r="N51" s="10"/>
      <c r="O51" s="10"/>
      <c r="P51" s="10"/>
      <c r="Q51" s="10"/>
      <c r="R51" s="10"/>
    </row>
    <row r="52" spans="1:18" x14ac:dyDescent="0.25">
      <c r="A52" s="6">
        <v>7</v>
      </c>
      <c r="B52" s="10">
        <v>742.82444444444434</v>
      </c>
      <c r="C52" s="10">
        <f>Työkaluvälilehti!$B$12*(A52-A51)*Työkaluvälilehti!$B$7</f>
        <v>1236</v>
      </c>
      <c r="D52" s="10">
        <f t="shared" ref="D52:D53" si="23">C52-B52</f>
        <v>493.17555555555566</v>
      </c>
      <c r="E52" s="10">
        <f>B52/(1+$B$1)^$A52</f>
        <v>742.82444444444434</v>
      </c>
      <c r="F52" s="10">
        <f t="shared" si="21"/>
        <v>1236</v>
      </c>
      <c r="G52" s="10">
        <f>F52-E52</f>
        <v>493.17555555555566</v>
      </c>
      <c r="H52" s="10"/>
      <c r="L52" s="10"/>
      <c r="M52" s="10"/>
      <c r="N52" s="10"/>
      <c r="O52" s="10"/>
      <c r="P52" s="10"/>
      <c r="Q52" s="10"/>
      <c r="R52" s="10"/>
    </row>
    <row r="53" spans="1:18" x14ac:dyDescent="0.25">
      <c r="A53" s="6">
        <v>8</v>
      </c>
      <c r="B53" s="10">
        <v>742.82444444444434</v>
      </c>
      <c r="C53" s="10">
        <f>Työkaluvälilehti!$B$12*(A53-A52)*Työkaluvälilehti!$B$7</f>
        <v>1236</v>
      </c>
      <c r="D53" s="10">
        <f t="shared" si="23"/>
        <v>493.17555555555566</v>
      </c>
      <c r="E53" s="10">
        <f t="shared" ref="E53" si="24">B53/(1+$B$1)^$A53</f>
        <v>742.82444444444434</v>
      </c>
      <c r="F53" s="10">
        <f t="shared" si="21"/>
        <v>1236</v>
      </c>
      <c r="G53" s="10">
        <f t="shared" ref="G53:G54" si="25">F53-E53</f>
        <v>493.17555555555566</v>
      </c>
      <c r="H53" s="10"/>
      <c r="L53" s="10"/>
      <c r="M53" s="10"/>
      <c r="N53" s="10"/>
      <c r="O53" s="10"/>
      <c r="P53" s="10"/>
      <c r="Q53" s="10"/>
      <c r="R53" s="10"/>
    </row>
    <row r="54" spans="1:18" x14ac:dyDescent="0.25">
      <c r="A54" s="6">
        <v>9</v>
      </c>
      <c r="B54" s="10">
        <v>742.82444444444434</v>
      </c>
      <c r="C54" s="10">
        <f>Työkaluvälilehti!$B$12*(A54-A53)*Työkaluvälilehti!$B$7</f>
        <v>1236</v>
      </c>
      <c r="D54" s="10">
        <f>C54-B54</f>
        <v>493.17555555555566</v>
      </c>
      <c r="E54" s="10">
        <f>B54/(1+$B$1)^$A54</f>
        <v>742.82444444444434</v>
      </c>
      <c r="F54" s="10">
        <f t="shared" si="21"/>
        <v>1236</v>
      </c>
      <c r="G54" s="10">
        <f t="shared" si="25"/>
        <v>493.17555555555566</v>
      </c>
      <c r="H54" s="10"/>
      <c r="L54" s="10"/>
      <c r="M54" s="10"/>
      <c r="N54" s="10"/>
      <c r="O54" s="10"/>
      <c r="P54" s="10"/>
      <c r="Q54" s="10"/>
      <c r="R54" s="10"/>
    </row>
    <row r="55" spans="1:18" x14ac:dyDescent="0.25">
      <c r="A55" s="6">
        <v>10</v>
      </c>
      <c r="B55" s="10">
        <v>773.1708010335916</v>
      </c>
      <c r="C55" s="10">
        <f>Työkaluvälilehti!$B$12*(A55-A54)*Työkaluvälilehti!$B$7</f>
        <v>1236</v>
      </c>
      <c r="D55" s="10">
        <f>C55-B55</f>
        <v>462.8291989664084</v>
      </c>
      <c r="E55" s="10">
        <f>B55/(1+$B$1)^$A55</f>
        <v>773.1708010335916</v>
      </c>
      <c r="F55" s="10">
        <f>C55/(1+$B$1)^$A55</f>
        <v>1236</v>
      </c>
      <c r="G55" s="10">
        <f>F55-E55</f>
        <v>462.8291989664084</v>
      </c>
      <c r="H55" s="10"/>
      <c r="L55" s="10"/>
      <c r="M55" s="10"/>
      <c r="N55" s="10"/>
      <c r="O55" s="10"/>
      <c r="P55" s="10"/>
      <c r="Q55" s="10"/>
      <c r="R55" s="10"/>
    </row>
    <row r="56" spans="1:18" x14ac:dyDescent="0.25">
      <c r="A56" s="6" t="s">
        <v>103</v>
      </c>
      <c r="B56" s="10" t="s">
        <v>107</v>
      </c>
      <c r="C56" s="10" t="s">
        <v>98</v>
      </c>
      <c r="D56" s="10" t="s">
        <v>99</v>
      </c>
      <c r="E56" s="10" t="s">
        <v>100</v>
      </c>
      <c r="F56" s="10" t="s">
        <v>101</v>
      </c>
      <c r="G56" s="10" t="s">
        <v>102</v>
      </c>
      <c r="H56" s="10" t="s">
        <v>83</v>
      </c>
      <c r="L56" s="10"/>
      <c r="M56" s="10"/>
      <c r="N56" s="10"/>
      <c r="O56" s="10"/>
      <c r="P56" s="10"/>
      <c r="Q56" s="10"/>
      <c r="R56" s="10"/>
    </row>
    <row r="57" spans="1:18" x14ac:dyDescent="0.25">
      <c r="B57" s="10">
        <f>SUM(B45:B55)</f>
        <v>8045.7862858820754</v>
      </c>
      <c r="C57" s="10">
        <f t="shared" ref="C57" si="26">SUM(C45:C55)</f>
        <v>11124</v>
      </c>
      <c r="D57" s="10">
        <f>SUM(D45:D55)</f>
        <v>3078.2137141179246</v>
      </c>
      <c r="E57" s="10">
        <f>SUM(E45:E55)</f>
        <v>8045.7862858820754</v>
      </c>
      <c r="F57" s="10">
        <f>SUM(F45:F55)</f>
        <v>11124</v>
      </c>
      <c r="G57" s="10">
        <f>SUM(G45:G55)</f>
        <v>3078.2137141179246</v>
      </c>
      <c r="H57" s="10" t="e">
        <f>G57/(1-(1/(1+$B$1))^(#REF!))</f>
        <v>#REF!</v>
      </c>
      <c r="L57" s="10"/>
      <c r="M57" s="10"/>
      <c r="N57" s="10"/>
      <c r="O57" s="10"/>
      <c r="P57" s="10"/>
      <c r="Q57" s="10"/>
      <c r="R57" s="10"/>
    </row>
    <row r="58" spans="1:18" x14ac:dyDescent="0.25">
      <c r="B58" s="10" t="s">
        <v>104</v>
      </c>
      <c r="C58" s="10">
        <v>1641.4215478428662</v>
      </c>
      <c r="D58" s="10"/>
      <c r="E58" s="10"/>
      <c r="F58" s="10"/>
      <c r="G58" s="10"/>
      <c r="H58" s="10"/>
      <c r="L58" s="10"/>
      <c r="M58" s="10"/>
      <c r="N58" s="10"/>
      <c r="O58" s="10"/>
      <c r="P58" s="10"/>
      <c r="Q58" s="10"/>
      <c r="R58" s="10"/>
    </row>
    <row r="59" spans="1:18" x14ac:dyDescent="0.25">
      <c r="A59" s="1" t="s">
        <v>127</v>
      </c>
      <c r="B59" s="10"/>
      <c r="C59" s="10"/>
      <c r="D59" s="10"/>
      <c r="E59" s="10"/>
      <c r="F59" s="10"/>
      <c r="G59" s="10"/>
      <c r="H59" s="10"/>
      <c r="L59" s="10"/>
      <c r="M59" s="10"/>
      <c r="N59" s="10"/>
      <c r="O59" s="10"/>
      <c r="P59" s="10"/>
      <c r="Q59" s="10"/>
      <c r="R59" s="10"/>
    </row>
    <row r="60" spans="1:18" x14ac:dyDescent="0.25">
      <c r="A60" s="6" t="s">
        <v>78</v>
      </c>
      <c r="B60" s="10" t="s">
        <v>107</v>
      </c>
      <c r="C60" s="10" t="s">
        <v>98</v>
      </c>
      <c r="D60" s="10" t="s">
        <v>99</v>
      </c>
      <c r="E60" s="10" t="s">
        <v>100</v>
      </c>
      <c r="F60" s="10" t="s">
        <v>101</v>
      </c>
      <c r="G60" s="10" t="s">
        <v>102</v>
      </c>
      <c r="H60" s="10"/>
      <c r="L60" s="10"/>
      <c r="M60" s="10"/>
      <c r="N60" s="10"/>
      <c r="O60" s="10"/>
      <c r="P60" s="10"/>
      <c r="Q60" s="10"/>
      <c r="R60" s="10"/>
    </row>
    <row r="61" spans="1:18" x14ac:dyDescent="0.25">
      <c r="A61" s="6">
        <v>0</v>
      </c>
      <c r="B61" s="10">
        <v>1757.8130404040403</v>
      </c>
      <c r="C61" s="10">
        <v>0</v>
      </c>
      <c r="D61" s="10">
        <f>C61-B61</f>
        <v>-1757.8130404040403</v>
      </c>
      <c r="E61" s="10">
        <f>B61/(1+$B$1)^$A61</f>
        <v>1757.8130404040403</v>
      </c>
      <c r="F61" s="10">
        <f>C61/(1+$B$1)^$A61</f>
        <v>0</v>
      </c>
      <c r="G61" s="10">
        <f>F61-E61</f>
        <v>-1757.8130404040403</v>
      </c>
      <c r="H61" s="10"/>
      <c r="L61" s="10"/>
      <c r="M61" s="10"/>
      <c r="N61" s="10"/>
      <c r="O61" s="10"/>
      <c r="P61" s="10"/>
      <c r="Q61" s="10"/>
      <c r="R61" s="10"/>
    </row>
    <row r="62" spans="1:18" x14ac:dyDescent="0.25">
      <c r="A62" s="6">
        <v>1</v>
      </c>
      <c r="B62" s="10">
        <v>88.968222222222209</v>
      </c>
      <c r="C62" s="10">
        <v>0</v>
      </c>
      <c r="D62" s="10">
        <f>C62-B62</f>
        <v>-88.968222222222209</v>
      </c>
      <c r="E62" s="10">
        <f>B62/(1+$B$1)^$A62</f>
        <v>88.968222222222209</v>
      </c>
      <c r="F62" s="10">
        <f t="shared" ref="F62:F64" si="27">C62/(1+$B$1)^$A62</f>
        <v>0</v>
      </c>
      <c r="G62" s="10">
        <f>F62-E62</f>
        <v>-88.968222222222209</v>
      </c>
      <c r="H62" s="10"/>
      <c r="L62" s="10"/>
      <c r="M62" s="10"/>
      <c r="N62" s="10"/>
      <c r="O62" s="10"/>
      <c r="P62" s="10"/>
      <c r="Q62" s="10"/>
      <c r="R62" s="10"/>
    </row>
    <row r="63" spans="1:18" x14ac:dyDescent="0.25">
      <c r="A63" s="6">
        <v>2</v>
      </c>
      <c r="B63" s="10">
        <v>742.82444444444434</v>
      </c>
      <c r="C63" s="10">
        <f>Työkaluvälilehti!$B$12*(A63-A62)*Työkaluvälilehti!$B$7</f>
        <v>1236</v>
      </c>
      <c r="D63" s="10">
        <f t="shared" ref="D63:D64" si="28">C63-B63</f>
        <v>493.17555555555566</v>
      </c>
      <c r="E63" s="10">
        <f t="shared" ref="E63:F70" si="29">B63/(1+$B$1)^$A63</f>
        <v>742.82444444444434</v>
      </c>
      <c r="F63" s="10">
        <f t="shared" si="27"/>
        <v>1236</v>
      </c>
      <c r="G63" s="10">
        <f t="shared" ref="G63:G64" si="30">F63-E63</f>
        <v>493.17555555555566</v>
      </c>
      <c r="H63" s="10"/>
      <c r="L63" s="10"/>
      <c r="M63" s="10"/>
      <c r="N63" s="10"/>
      <c r="O63" s="10"/>
      <c r="P63" s="10"/>
      <c r="Q63" s="10"/>
      <c r="R63" s="10"/>
    </row>
    <row r="64" spans="1:18" x14ac:dyDescent="0.25">
      <c r="A64" s="6">
        <v>3</v>
      </c>
      <c r="B64" s="10">
        <v>742.82444444444434</v>
      </c>
      <c r="C64" s="10">
        <f>Työkaluvälilehti!$B$12*(A64-A63)*Työkaluvälilehti!$B$7</f>
        <v>1236</v>
      </c>
      <c r="D64" s="10">
        <f t="shared" si="28"/>
        <v>493.17555555555566</v>
      </c>
      <c r="E64" s="10">
        <f t="shared" si="29"/>
        <v>742.82444444444434</v>
      </c>
      <c r="F64" s="10">
        <f t="shared" si="27"/>
        <v>1236</v>
      </c>
      <c r="G64" s="10">
        <f t="shared" si="30"/>
        <v>493.17555555555566</v>
      </c>
      <c r="H64" s="10"/>
      <c r="L64" s="10"/>
      <c r="M64" s="10"/>
      <c r="N64" s="10"/>
      <c r="O64" s="10"/>
      <c r="P64" s="10"/>
      <c r="Q64" s="10"/>
      <c r="R64" s="10"/>
    </row>
    <row r="65" spans="1:18" x14ac:dyDescent="0.25">
      <c r="A65" s="6">
        <v>4</v>
      </c>
      <c r="B65" s="10">
        <v>742.82444444444434</v>
      </c>
      <c r="C65" s="10">
        <f>Työkaluvälilehti!$B$12*(A65-A64)*Työkaluvälilehti!$B$7</f>
        <v>1236</v>
      </c>
      <c r="D65" s="10">
        <f>C65-B65</f>
        <v>493.17555555555566</v>
      </c>
      <c r="E65" s="10">
        <f t="shared" si="29"/>
        <v>742.82444444444434</v>
      </c>
      <c r="F65" s="10">
        <f t="shared" si="29"/>
        <v>1236</v>
      </c>
      <c r="G65" s="10">
        <f>F65-E65</f>
        <v>493.17555555555566</v>
      </c>
      <c r="H65" s="10"/>
      <c r="L65" s="10"/>
      <c r="M65" s="10"/>
      <c r="N65" s="10"/>
      <c r="O65" s="10"/>
      <c r="P65" s="10"/>
      <c r="Q65" s="10"/>
      <c r="R65" s="10"/>
    </row>
    <row r="66" spans="1:18" x14ac:dyDescent="0.25">
      <c r="A66" s="6">
        <v>5</v>
      </c>
      <c r="B66" s="10">
        <v>1839.2540869156685</v>
      </c>
      <c r="C66" s="10">
        <f>Työkaluvälilehti!$B$12*(A66-A65)*Työkaluvälilehti!$B$7</f>
        <v>1236</v>
      </c>
      <c r="D66" s="10">
        <f>C66-B66</f>
        <v>-603.25408691566849</v>
      </c>
      <c r="E66" s="10">
        <f t="shared" si="29"/>
        <v>1839.2540869156685</v>
      </c>
      <c r="F66" s="10">
        <f t="shared" si="29"/>
        <v>1236</v>
      </c>
      <c r="G66" s="10">
        <f>F66-E66</f>
        <v>-603.25408691566849</v>
      </c>
      <c r="H66" s="10"/>
      <c r="L66" s="10"/>
      <c r="M66" s="10"/>
      <c r="N66" s="10"/>
      <c r="O66" s="10"/>
      <c r="P66" s="10"/>
      <c r="Q66" s="10"/>
      <c r="R66" s="10"/>
    </row>
    <row r="67" spans="1:18" x14ac:dyDescent="0.25">
      <c r="A67" s="6">
        <v>6</v>
      </c>
      <c r="B67" s="10">
        <v>231.00444444444449</v>
      </c>
      <c r="C67" s="10">
        <v>0</v>
      </c>
      <c r="D67" s="10">
        <f>C67-B67</f>
        <v>-231.00444444444449</v>
      </c>
      <c r="E67" s="10">
        <f t="shared" si="29"/>
        <v>231.00444444444449</v>
      </c>
      <c r="F67" s="10">
        <f t="shared" si="29"/>
        <v>0</v>
      </c>
      <c r="G67" s="10">
        <f>F67-E67</f>
        <v>-231.00444444444449</v>
      </c>
      <c r="H67" s="10"/>
      <c r="L67" s="10"/>
      <c r="M67" s="10"/>
      <c r="N67" s="10"/>
      <c r="O67" s="10"/>
      <c r="P67" s="10"/>
      <c r="Q67" s="10"/>
      <c r="R67" s="10"/>
    </row>
    <row r="68" spans="1:18" x14ac:dyDescent="0.25">
      <c r="A68" s="6">
        <v>7</v>
      </c>
      <c r="B68" s="10">
        <v>742.82444444444434</v>
      </c>
      <c r="C68" s="10">
        <f>Työkaluvälilehti!$B$12*(A68-A67)*Työkaluvälilehti!$B$7</f>
        <v>1236</v>
      </c>
      <c r="D68" s="10">
        <f t="shared" ref="D68:D69" si="31">C68-B68</f>
        <v>493.17555555555566</v>
      </c>
      <c r="E68" s="10">
        <f>B68/(1+$B$1)^$A68</f>
        <v>742.82444444444434</v>
      </c>
      <c r="F68" s="10">
        <f t="shared" si="29"/>
        <v>1236</v>
      </c>
      <c r="G68" s="10">
        <f>F68-E68</f>
        <v>493.17555555555566</v>
      </c>
      <c r="H68" s="10"/>
      <c r="L68" s="10"/>
      <c r="M68" s="10"/>
      <c r="N68" s="10"/>
      <c r="O68" s="10"/>
      <c r="P68" s="10"/>
      <c r="Q68" s="10"/>
      <c r="R68" s="10"/>
    </row>
    <row r="69" spans="1:18" x14ac:dyDescent="0.25">
      <c r="A69" s="6">
        <v>8</v>
      </c>
      <c r="B69" s="10">
        <v>742.82444444444434</v>
      </c>
      <c r="C69" s="10">
        <f>Työkaluvälilehti!$B$12*(A69-A68)*Työkaluvälilehti!$B$7</f>
        <v>1236</v>
      </c>
      <c r="D69" s="10">
        <f t="shared" si="31"/>
        <v>493.17555555555566</v>
      </c>
      <c r="E69" s="10">
        <f t="shared" ref="E69" si="32">B69/(1+$B$1)^$A69</f>
        <v>742.82444444444434</v>
      </c>
      <c r="F69" s="10">
        <f t="shared" si="29"/>
        <v>1236</v>
      </c>
      <c r="G69" s="10">
        <f t="shared" ref="G69:G70" si="33">F69-E69</f>
        <v>493.17555555555566</v>
      </c>
      <c r="H69" s="10"/>
      <c r="L69" s="10"/>
      <c r="M69" s="10"/>
      <c r="N69" s="10"/>
      <c r="O69" s="10"/>
      <c r="P69" s="10"/>
      <c r="Q69" s="10"/>
      <c r="R69" s="10"/>
    </row>
    <row r="70" spans="1:18" x14ac:dyDescent="0.25">
      <c r="A70" s="6">
        <v>9</v>
      </c>
      <c r="B70" s="10">
        <v>742.82444444444434</v>
      </c>
      <c r="C70" s="10">
        <f>Työkaluvälilehti!$B$12*(A70-A69)*Työkaluvälilehti!$B$7</f>
        <v>1236</v>
      </c>
      <c r="D70" s="10">
        <f>C70-B70</f>
        <v>493.17555555555566</v>
      </c>
      <c r="E70" s="10">
        <f>B70/(1+$B$1)^$A70</f>
        <v>742.82444444444434</v>
      </c>
      <c r="F70" s="10">
        <f t="shared" si="29"/>
        <v>1236</v>
      </c>
      <c r="G70" s="10">
        <f t="shared" si="33"/>
        <v>493.17555555555566</v>
      </c>
      <c r="H70" s="10"/>
      <c r="L70" s="10"/>
      <c r="M70" s="10"/>
      <c r="N70" s="10"/>
      <c r="O70" s="10"/>
      <c r="P70" s="10"/>
      <c r="Q70" s="10"/>
      <c r="R70" s="10"/>
    </row>
    <row r="71" spans="1:18" x14ac:dyDescent="0.25">
      <c r="A71" s="6">
        <v>10</v>
      </c>
      <c r="B71" s="10">
        <v>580.61937984496126</v>
      </c>
      <c r="C71" s="10">
        <f>Työkaluvälilehti!$B$12*(A71-A70)*Työkaluvälilehti!$B$7</f>
        <v>1236</v>
      </c>
      <c r="D71" s="10">
        <f>C71-B71</f>
        <v>655.38062015503874</v>
      </c>
      <c r="E71" s="10">
        <f>B71/(1+$B$1)^$A71</f>
        <v>580.61937984496126</v>
      </c>
      <c r="F71" s="10">
        <f>C71/(1+$B$1)^$A71</f>
        <v>1236</v>
      </c>
      <c r="G71" s="10">
        <f>F71-E71</f>
        <v>655.38062015503874</v>
      </c>
      <c r="H71" s="10"/>
      <c r="L71" s="10"/>
      <c r="M71" s="10"/>
      <c r="N71" s="10"/>
      <c r="O71" s="10"/>
      <c r="P71" s="10"/>
      <c r="Q71" s="10"/>
      <c r="R71" s="10"/>
    </row>
    <row r="72" spans="1:18" x14ac:dyDescent="0.25">
      <c r="A72" s="6" t="s">
        <v>103</v>
      </c>
      <c r="B72" s="10" t="s">
        <v>107</v>
      </c>
      <c r="C72" s="10" t="s">
        <v>98</v>
      </c>
      <c r="D72" s="10" t="s">
        <v>99</v>
      </c>
      <c r="E72" s="10" t="s">
        <v>100</v>
      </c>
      <c r="F72" s="10" t="s">
        <v>101</v>
      </c>
      <c r="G72" s="10" t="s">
        <v>102</v>
      </c>
      <c r="H72" s="10" t="s">
        <v>83</v>
      </c>
      <c r="L72" s="10"/>
      <c r="M72" s="10"/>
      <c r="N72" s="10"/>
      <c r="O72" s="10"/>
      <c r="P72" s="10"/>
      <c r="Q72" s="10"/>
      <c r="R72" s="10"/>
    </row>
    <row r="73" spans="1:18" x14ac:dyDescent="0.25">
      <c r="B73" s="10">
        <f>SUM(B61:B71)</f>
        <v>8954.6058404980031</v>
      </c>
      <c r="C73" s="10">
        <f t="shared" ref="C73:G73" si="34">SUM(C61:C71)</f>
        <v>9888</v>
      </c>
      <c r="D73" s="10">
        <f t="shared" si="34"/>
        <v>933.39415950199702</v>
      </c>
      <c r="E73" s="10">
        <f t="shared" si="34"/>
        <v>8954.6058404980031</v>
      </c>
      <c r="F73" s="10">
        <f t="shared" si="34"/>
        <v>9888</v>
      </c>
      <c r="G73" s="10">
        <f t="shared" si="34"/>
        <v>933.39415950199702</v>
      </c>
      <c r="H73" s="10" t="e">
        <f>G73/(1-(1/(1+$B$1))^(#REF!))</f>
        <v>#REF!</v>
      </c>
      <c r="L73" s="10"/>
      <c r="M73" s="10"/>
      <c r="N73" s="10"/>
      <c r="O73" s="10"/>
      <c r="P73" s="10"/>
      <c r="Q73" s="10"/>
      <c r="R73" s="10"/>
    </row>
    <row r="74" spans="1:18" x14ac:dyDescent="0.25">
      <c r="B74" s="10" t="s">
        <v>104</v>
      </c>
      <c r="C74" s="10">
        <v>1639.3209567206075</v>
      </c>
      <c r="D74" s="10"/>
      <c r="E74" s="10"/>
      <c r="F74" s="10"/>
      <c r="G74" s="10"/>
      <c r="H74" s="10"/>
      <c r="L74" s="10"/>
      <c r="M74" s="10"/>
      <c r="N74" s="10"/>
      <c r="O74" s="10"/>
      <c r="P74" s="10"/>
      <c r="Q74" s="10"/>
      <c r="R74" s="10"/>
    </row>
    <row r="75" spans="1:18" x14ac:dyDescent="0.25">
      <c r="A75" s="6" t="s">
        <v>72</v>
      </c>
      <c r="B75" s="10"/>
      <c r="C75" s="10"/>
      <c r="D75" s="10"/>
      <c r="E75" s="10"/>
      <c r="F75" s="10"/>
      <c r="G75" s="10"/>
      <c r="H75" s="10"/>
      <c r="L75" s="10"/>
      <c r="M75" s="10"/>
      <c r="N75" s="10"/>
      <c r="O75" s="10"/>
      <c r="P75" s="10"/>
      <c r="Q75" s="10"/>
      <c r="R75" s="10"/>
    </row>
    <row r="76" spans="1:18" x14ac:dyDescent="0.25">
      <c r="A76" s="6" t="s">
        <v>78</v>
      </c>
      <c r="B76" s="10" t="s">
        <v>107</v>
      </c>
      <c r="C76" s="10" t="s">
        <v>98</v>
      </c>
      <c r="D76" s="10" t="s">
        <v>99</v>
      </c>
      <c r="E76" s="10" t="s">
        <v>100</v>
      </c>
      <c r="F76" s="10" t="s">
        <v>101</v>
      </c>
      <c r="G76" s="10" t="s">
        <v>102</v>
      </c>
      <c r="H76" s="10"/>
      <c r="L76" s="10"/>
      <c r="M76" s="10"/>
      <c r="N76" s="10"/>
      <c r="O76" s="10"/>
      <c r="P76" s="10"/>
      <c r="Q76" s="10"/>
      <c r="R76" s="10"/>
    </row>
    <row r="77" spans="1:18" x14ac:dyDescent="0.25">
      <c r="A77" s="6">
        <v>0</v>
      </c>
      <c r="B77" s="10">
        <v>1241.0517070707067</v>
      </c>
      <c r="C77" s="10">
        <v>0</v>
      </c>
      <c r="D77" s="10">
        <f>C77-B77</f>
        <v>-1241.0517070707067</v>
      </c>
      <c r="E77" s="10">
        <f>B77/(1+$B$1)^$A77</f>
        <v>1241.0517070707067</v>
      </c>
      <c r="F77" s="10">
        <f>C77/(1+$B$1)^$A77</f>
        <v>0</v>
      </c>
      <c r="G77" s="10">
        <f>F77-E77</f>
        <v>-1241.0517070707067</v>
      </c>
      <c r="H77" s="10"/>
      <c r="L77" s="10"/>
      <c r="M77" s="10"/>
      <c r="N77" s="10"/>
      <c r="O77" s="10"/>
      <c r="P77" s="10"/>
      <c r="Q77" s="10"/>
      <c r="R77" s="10"/>
    </row>
    <row r="78" spans="1:18" x14ac:dyDescent="0.25">
      <c r="A78" s="6">
        <v>1</v>
      </c>
      <c r="B78" s="10">
        <v>655.17603864734315</v>
      </c>
      <c r="C78" s="10">
        <f>Työkaluvälilehti!$B$12*(A79-A78)*Työkaluvälilehti!$B$3</f>
        <v>960</v>
      </c>
      <c r="D78" s="10">
        <f>C78-B78</f>
        <v>304.82396135265685</v>
      </c>
      <c r="E78" s="10">
        <f>B78/(1+$B$1)^$A78</f>
        <v>655.17603864734315</v>
      </c>
      <c r="F78" s="10">
        <f t="shared" ref="F78:F80" si="35">C78/(1+$B$1)^$A78</f>
        <v>960</v>
      </c>
      <c r="G78" s="10">
        <f>F78-E78</f>
        <v>304.82396135265685</v>
      </c>
      <c r="H78" s="10"/>
      <c r="L78" s="10"/>
      <c r="M78" s="10"/>
      <c r="N78" s="10"/>
      <c r="O78" s="10"/>
      <c r="P78" s="10"/>
      <c r="Q78" s="10"/>
      <c r="R78" s="10"/>
    </row>
    <row r="79" spans="1:18" x14ac:dyDescent="0.25">
      <c r="A79" s="6">
        <v>2</v>
      </c>
      <c r="B79" s="10">
        <v>655.17603864734315</v>
      </c>
      <c r="C79" s="10">
        <f>Työkaluvälilehti!$B$12*(A79-A78)*Työkaluvälilehti!$B$3</f>
        <v>960</v>
      </c>
      <c r="D79" s="10">
        <f t="shared" ref="D79:D80" si="36">C79-B79</f>
        <v>304.82396135265685</v>
      </c>
      <c r="E79" s="10">
        <f t="shared" ref="E79:F86" si="37">B79/(1+$B$1)^$A79</f>
        <v>655.17603864734315</v>
      </c>
      <c r="F79" s="10">
        <f t="shared" si="35"/>
        <v>960</v>
      </c>
      <c r="G79" s="10">
        <f t="shared" ref="G79:G80" si="38">F79-E79</f>
        <v>304.82396135265685</v>
      </c>
      <c r="H79" s="10"/>
      <c r="L79" s="10"/>
      <c r="M79" s="10"/>
      <c r="N79" s="10"/>
      <c r="O79" s="10"/>
      <c r="P79" s="10"/>
      <c r="Q79" s="10"/>
      <c r="R79" s="10"/>
    </row>
    <row r="80" spans="1:18" x14ac:dyDescent="0.25">
      <c r="A80" s="6">
        <v>3</v>
      </c>
      <c r="B80" s="10">
        <v>655.17603864734315</v>
      </c>
      <c r="C80" s="10">
        <f>Työkaluvälilehti!$B$12*(A80-A79)*Työkaluvälilehti!$B$3</f>
        <v>960</v>
      </c>
      <c r="D80" s="10">
        <f t="shared" si="36"/>
        <v>304.82396135265685</v>
      </c>
      <c r="E80" s="10">
        <f t="shared" si="37"/>
        <v>655.17603864734315</v>
      </c>
      <c r="F80" s="10">
        <f t="shared" si="35"/>
        <v>960</v>
      </c>
      <c r="G80" s="10">
        <f t="shared" si="38"/>
        <v>304.82396135265685</v>
      </c>
      <c r="H80" s="10"/>
      <c r="L80" s="10"/>
      <c r="M80" s="10"/>
      <c r="N80" s="10"/>
      <c r="O80" s="10"/>
      <c r="P80" s="10"/>
      <c r="Q80" s="10"/>
      <c r="R80" s="10"/>
    </row>
    <row r="81" spans="1:18" x14ac:dyDescent="0.25">
      <c r="A81" s="6">
        <v>4</v>
      </c>
      <c r="B81" s="10">
        <v>655.17603864734315</v>
      </c>
      <c r="C81" s="10">
        <f>Työkaluvälilehti!$B$12*(A81-A80)*Työkaluvälilehti!$B$3</f>
        <v>960</v>
      </c>
      <c r="D81" s="10">
        <f>C81-B81</f>
        <v>304.82396135265685</v>
      </c>
      <c r="E81" s="10">
        <f t="shared" si="37"/>
        <v>655.17603864734315</v>
      </c>
      <c r="F81" s="10">
        <f t="shared" si="37"/>
        <v>960</v>
      </c>
      <c r="G81" s="10">
        <f>F81-E81</f>
        <v>304.82396135265685</v>
      </c>
      <c r="H81" s="10"/>
      <c r="L81" s="10"/>
      <c r="M81" s="10"/>
      <c r="N81" s="10"/>
      <c r="O81" s="10"/>
      <c r="P81" s="10"/>
      <c r="Q81" s="10"/>
      <c r="R81" s="10"/>
    </row>
    <row r="82" spans="1:18" x14ac:dyDescent="0.25">
      <c r="A82" s="6">
        <v>5</v>
      </c>
      <c r="B82" s="10">
        <v>655.17603864734315</v>
      </c>
      <c r="C82" s="10">
        <f>Työkaluvälilehti!$B$12*(A82-A81)*Työkaluvälilehti!$B$3</f>
        <v>960</v>
      </c>
      <c r="D82" s="10">
        <f>C82-B82</f>
        <v>304.82396135265685</v>
      </c>
      <c r="E82" s="10">
        <f t="shared" si="37"/>
        <v>655.17603864734315</v>
      </c>
      <c r="F82" s="10">
        <f t="shared" si="37"/>
        <v>960</v>
      </c>
      <c r="G82" s="10">
        <f>F82-E82</f>
        <v>304.82396135265685</v>
      </c>
      <c r="H82" s="10"/>
      <c r="L82" s="10"/>
      <c r="M82" s="10"/>
      <c r="N82" s="10"/>
      <c r="O82" s="10"/>
      <c r="P82" s="10"/>
      <c r="Q82" s="10"/>
      <c r="R82" s="10"/>
    </row>
    <row r="83" spans="1:18" x14ac:dyDescent="0.25">
      <c r="A83" s="6">
        <v>6</v>
      </c>
      <c r="B83" s="10">
        <v>655.17603864734315</v>
      </c>
      <c r="C83" s="10">
        <f>Työkaluvälilehti!$B$12*(A83-A82)*Työkaluvälilehti!$B$3</f>
        <v>960</v>
      </c>
      <c r="D83" s="10">
        <f>C83-B83</f>
        <v>304.82396135265685</v>
      </c>
      <c r="E83" s="10">
        <f t="shared" si="37"/>
        <v>655.17603864734315</v>
      </c>
      <c r="F83" s="10">
        <f t="shared" si="37"/>
        <v>960</v>
      </c>
      <c r="G83" s="10">
        <f>F83-E83</f>
        <v>304.82396135265685</v>
      </c>
      <c r="H83" s="10"/>
      <c r="L83" s="10"/>
      <c r="M83" s="10"/>
      <c r="N83" s="10"/>
      <c r="O83" s="10"/>
      <c r="P83" s="10"/>
      <c r="Q83" s="10"/>
      <c r="R83" s="10"/>
    </row>
    <row r="84" spans="1:18" x14ac:dyDescent="0.25">
      <c r="A84" s="6">
        <v>7</v>
      </c>
      <c r="B84" s="10">
        <v>655.17603864734315</v>
      </c>
      <c r="C84" s="10">
        <f>Työkaluvälilehti!$B$12*(A84-A83)*Työkaluvälilehti!$B$3</f>
        <v>960</v>
      </c>
      <c r="D84" s="10">
        <f t="shared" ref="D84:D85" si="39">C84-B84</f>
        <v>304.82396135265685</v>
      </c>
      <c r="E84" s="10">
        <f>B84/(1+$B$1)^$A84</f>
        <v>655.17603864734315</v>
      </c>
      <c r="F84" s="10">
        <f t="shared" si="37"/>
        <v>960</v>
      </c>
      <c r="G84" s="10">
        <f>F84-E84</f>
        <v>304.82396135265685</v>
      </c>
      <c r="H84" s="10"/>
      <c r="L84" s="10"/>
      <c r="M84" s="10"/>
      <c r="N84" s="10"/>
      <c r="O84" s="10"/>
      <c r="P84" s="10"/>
      <c r="Q84" s="10"/>
      <c r="R84" s="10"/>
    </row>
    <row r="85" spans="1:18" x14ac:dyDescent="0.25">
      <c r="A85" s="6">
        <v>8</v>
      </c>
      <c r="B85" s="10">
        <v>655.17603864734315</v>
      </c>
      <c r="C85" s="10">
        <f>Työkaluvälilehti!$B$12*(A85-A84)*Työkaluvälilehti!$B$3</f>
        <v>960</v>
      </c>
      <c r="D85" s="10">
        <f t="shared" si="39"/>
        <v>304.82396135265685</v>
      </c>
      <c r="E85" s="10">
        <f t="shared" ref="E85" si="40">B85/(1+$B$1)^$A85</f>
        <v>655.17603864734315</v>
      </c>
      <c r="F85" s="10">
        <f t="shared" si="37"/>
        <v>960</v>
      </c>
      <c r="G85" s="10">
        <f t="shared" ref="G85:G86" si="41">F85-E85</f>
        <v>304.82396135265685</v>
      </c>
      <c r="H85" s="10"/>
      <c r="L85" s="10"/>
      <c r="M85" s="10"/>
      <c r="N85" s="10"/>
      <c r="O85" s="10"/>
      <c r="P85" s="10"/>
      <c r="Q85" s="10"/>
      <c r="R85" s="10"/>
    </row>
    <row r="86" spans="1:18" x14ac:dyDescent="0.25">
      <c r="A86" s="6">
        <v>9</v>
      </c>
      <c r="B86" s="10">
        <v>655.17603864734315</v>
      </c>
      <c r="C86" s="10">
        <f>Työkaluvälilehti!$B$12*(A86-A85)*Työkaluvälilehti!$B$3</f>
        <v>960</v>
      </c>
      <c r="D86" s="10">
        <f>C86-B86</f>
        <v>304.82396135265685</v>
      </c>
      <c r="E86" s="10">
        <f>B86/(1+$B$1)^$A86</f>
        <v>655.17603864734315</v>
      </c>
      <c r="F86" s="10">
        <f t="shared" si="37"/>
        <v>960</v>
      </c>
      <c r="G86" s="10">
        <f t="shared" si="41"/>
        <v>304.82396135265685</v>
      </c>
      <c r="H86" s="10"/>
      <c r="L86" s="10"/>
      <c r="M86" s="10"/>
      <c r="N86" s="10"/>
      <c r="O86" s="10"/>
      <c r="P86" s="10"/>
      <c r="Q86" s="10"/>
      <c r="R86" s="10"/>
    </row>
    <row r="87" spans="1:18" x14ac:dyDescent="0.25">
      <c r="A87" s="6">
        <v>10</v>
      </c>
      <c r="B87" s="10">
        <v>685.52239523649041</v>
      </c>
      <c r="C87" s="10">
        <f>Työkaluvälilehti!$B$12*(A87-A86)*Työkaluvälilehti!$B$3</f>
        <v>960</v>
      </c>
      <c r="D87" s="10">
        <f>C87-B87</f>
        <v>274.47760476350959</v>
      </c>
      <c r="E87" s="10">
        <f>B87/(1+$B$1)^$A87</f>
        <v>685.52239523649041</v>
      </c>
      <c r="F87" s="10">
        <f>C87/(1+$B$1)^$A87</f>
        <v>960</v>
      </c>
      <c r="G87" s="10">
        <f>F87-E87</f>
        <v>274.47760476350959</v>
      </c>
      <c r="H87" s="10"/>
      <c r="L87" s="10"/>
      <c r="M87" s="10"/>
      <c r="N87" s="10"/>
      <c r="O87" s="10"/>
      <c r="P87" s="10"/>
      <c r="Q87" s="10"/>
      <c r="R87" s="10"/>
    </row>
    <row r="88" spans="1:18" x14ac:dyDescent="0.25">
      <c r="A88" s="6" t="s">
        <v>103</v>
      </c>
      <c r="B88" s="10" t="s">
        <v>107</v>
      </c>
      <c r="C88" s="10" t="s">
        <v>98</v>
      </c>
      <c r="D88" s="10" t="s">
        <v>99</v>
      </c>
      <c r="E88" s="10" t="s">
        <v>100</v>
      </c>
      <c r="F88" s="10" t="s">
        <v>101</v>
      </c>
      <c r="G88" s="10" t="s">
        <v>102</v>
      </c>
      <c r="H88" s="10" t="s">
        <v>83</v>
      </c>
      <c r="L88" s="10"/>
      <c r="M88" s="10"/>
      <c r="N88" s="10"/>
      <c r="O88" s="10"/>
      <c r="P88" s="10"/>
      <c r="Q88" s="10"/>
      <c r="R88" s="10"/>
    </row>
    <row r="89" spans="1:18" x14ac:dyDescent="0.25">
      <c r="B89" s="10">
        <f>SUM(B77:B87)</f>
        <v>7823.1584501332873</v>
      </c>
      <c r="C89" s="10">
        <f t="shared" ref="C89:G89" si="42">SUM(C77:C87)</f>
        <v>9600</v>
      </c>
      <c r="D89" s="10">
        <f>SUM(D77:D87)</f>
        <v>1776.8415498667146</v>
      </c>
      <c r="E89" s="10">
        <f t="shared" si="42"/>
        <v>7823.1584501332873</v>
      </c>
      <c r="F89" s="10">
        <f t="shared" si="42"/>
        <v>9600</v>
      </c>
      <c r="G89" s="10">
        <f t="shared" si="42"/>
        <v>1776.8415498667146</v>
      </c>
      <c r="H89" s="10" t="e">
        <f>G89/(1-(1/(1+$B$1))^(A87))</f>
        <v>#DIV/0!</v>
      </c>
      <c r="L89" s="10"/>
      <c r="M89" s="10"/>
      <c r="N89" s="10"/>
      <c r="O89" s="10"/>
      <c r="P89" s="10"/>
      <c r="Q89" s="10"/>
      <c r="R89" s="10"/>
    </row>
    <row r="90" spans="1:18" x14ac:dyDescent="0.25">
      <c r="B90" s="10" t="s">
        <v>104</v>
      </c>
      <c r="C90" s="10">
        <v>1610.3158450133287</v>
      </c>
      <c r="D90" s="10"/>
      <c r="E90" s="10"/>
      <c r="F90" s="10"/>
      <c r="G90" s="10"/>
      <c r="H90" s="10"/>
      <c r="L90" s="10"/>
      <c r="M90" s="10"/>
      <c r="N90" s="10"/>
      <c r="O90" s="10"/>
      <c r="P90" s="10"/>
      <c r="Q90" s="10"/>
      <c r="R90" s="10"/>
    </row>
    <row r="91" spans="1:18" x14ac:dyDescent="0.25">
      <c r="A91" s="6" t="s">
        <v>74</v>
      </c>
      <c r="B91" s="10"/>
      <c r="C91" s="10"/>
      <c r="D91" s="10"/>
      <c r="E91" s="10"/>
      <c r="F91" s="10"/>
      <c r="G91" s="10"/>
      <c r="H91" s="10"/>
      <c r="L91" s="10"/>
      <c r="M91" s="10"/>
      <c r="N91" s="10"/>
      <c r="O91" s="10"/>
      <c r="P91" s="10"/>
      <c r="Q91" s="10"/>
      <c r="R91" s="10"/>
    </row>
    <row r="92" spans="1:18" x14ac:dyDescent="0.25">
      <c r="A92" s="6" t="s">
        <v>78</v>
      </c>
      <c r="B92" s="10" t="s">
        <v>107</v>
      </c>
      <c r="C92" s="10" t="s">
        <v>98</v>
      </c>
      <c r="D92" s="10" t="s">
        <v>99</v>
      </c>
      <c r="E92" s="10" t="s">
        <v>100</v>
      </c>
      <c r="F92" s="10" t="s">
        <v>101</v>
      </c>
      <c r="G92" s="10" t="s">
        <v>102</v>
      </c>
      <c r="H92" s="10"/>
      <c r="L92" s="10"/>
      <c r="M92" s="10"/>
      <c r="N92" s="10"/>
      <c r="O92" s="10"/>
      <c r="P92" s="10"/>
      <c r="Q92" s="10"/>
      <c r="R92" s="10"/>
    </row>
    <row r="93" spans="1:18" x14ac:dyDescent="0.25">
      <c r="A93" s="6">
        <v>0</v>
      </c>
      <c r="B93" s="10">
        <v>1241.0517070707067</v>
      </c>
      <c r="C93" s="10">
        <v>0</v>
      </c>
      <c r="D93" s="10">
        <f>C93-B93</f>
        <v>-1241.0517070707067</v>
      </c>
      <c r="E93" s="10">
        <f>B93/(1+$B$1)^$A93</f>
        <v>1241.0517070707067</v>
      </c>
      <c r="F93" s="10">
        <f>C93/(1+$B$1)^$A93</f>
        <v>0</v>
      </c>
      <c r="G93" s="10">
        <f>F93-E93</f>
        <v>-1241.0517070707067</v>
      </c>
      <c r="H93" s="10"/>
      <c r="L93" s="10"/>
      <c r="M93" s="10"/>
      <c r="N93" s="10"/>
      <c r="O93" s="10"/>
      <c r="P93" s="10"/>
      <c r="Q93" s="10"/>
      <c r="R93" s="10"/>
    </row>
    <row r="94" spans="1:18" x14ac:dyDescent="0.25">
      <c r="A94" s="6">
        <v>1</v>
      </c>
      <c r="B94" s="10">
        <v>88.968222222222209</v>
      </c>
      <c r="C94" s="10">
        <v>0</v>
      </c>
      <c r="D94" s="10">
        <f>C94-B94</f>
        <v>-88.968222222222209</v>
      </c>
      <c r="E94" s="10">
        <f>B94/(1+$B$1)^$A94</f>
        <v>88.968222222222209</v>
      </c>
      <c r="F94" s="10">
        <f t="shared" ref="F94:F96" si="43">C94/(1+$B$1)^$A94</f>
        <v>0</v>
      </c>
      <c r="G94" s="10">
        <f>F94-E94</f>
        <v>-88.968222222222209</v>
      </c>
      <c r="H94" s="10"/>
      <c r="L94" s="10"/>
      <c r="M94" s="10"/>
      <c r="N94" s="10"/>
      <c r="O94" s="10"/>
      <c r="P94" s="10"/>
      <c r="Q94" s="10"/>
      <c r="R94" s="10"/>
    </row>
    <row r="95" spans="1:18" x14ac:dyDescent="0.25">
      <c r="A95" s="6">
        <v>2</v>
      </c>
      <c r="B95" s="10">
        <v>976.66324361628699</v>
      </c>
      <c r="C95" s="10">
        <f>Työkaluvälilehti!$B$12*(A95-A94)*Työkaluvälilehti!$B$4</f>
        <v>1200</v>
      </c>
      <c r="D95" s="10">
        <f t="shared" ref="D95:D96" si="44">C95-B95</f>
        <v>223.33675638371301</v>
      </c>
      <c r="E95" s="10">
        <f t="shared" ref="E95:F102" si="45">B95/(1+$B$1)^$A95</f>
        <v>976.66324361628699</v>
      </c>
      <c r="F95" s="10">
        <f t="shared" si="43"/>
        <v>1200</v>
      </c>
      <c r="G95" s="10">
        <f t="shared" ref="G95:G96" si="46">F95-E95</f>
        <v>223.33675638371301</v>
      </c>
      <c r="H95" s="10"/>
      <c r="L95" s="10"/>
      <c r="M95" s="10"/>
      <c r="N95" s="10"/>
      <c r="O95" s="10"/>
      <c r="P95" s="10"/>
      <c r="Q95" s="10"/>
      <c r="R95" s="10"/>
    </row>
    <row r="96" spans="1:18" x14ac:dyDescent="0.25">
      <c r="A96" s="6">
        <v>3</v>
      </c>
      <c r="B96" s="10">
        <v>976.66324361628699</v>
      </c>
      <c r="C96" s="10">
        <f>Työkaluvälilehti!$B$12*(A96-A95)*Työkaluvälilehti!$B$4</f>
        <v>1200</v>
      </c>
      <c r="D96" s="10">
        <f t="shared" si="44"/>
        <v>223.33675638371301</v>
      </c>
      <c r="E96" s="10">
        <f t="shared" si="45"/>
        <v>976.66324361628699</v>
      </c>
      <c r="F96" s="10">
        <f t="shared" si="43"/>
        <v>1200</v>
      </c>
      <c r="G96" s="10">
        <f t="shared" si="46"/>
        <v>223.33675638371301</v>
      </c>
      <c r="H96" s="10"/>
      <c r="L96" s="10"/>
      <c r="M96" s="10"/>
      <c r="N96" s="10"/>
      <c r="O96" s="10"/>
      <c r="P96" s="10"/>
      <c r="Q96" s="10"/>
      <c r="R96" s="10"/>
    </row>
    <row r="97" spans="1:18" x14ac:dyDescent="0.25">
      <c r="A97" s="6">
        <v>4</v>
      </c>
      <c r="B97" s="10">
        <v>976.66324361628699</v>
      </c>
      <c r="C97" s="10">
        <f>Työkaluvälilehti!$B$12*(A97-A96)*Työkaluvälilehti!$B$4</f>
        <v>1200</v>
      </c>
      <c r="D97" s="10">
        <f>C97-B97</f>
        <v>223.33675638371301</v>
      </c>
      <c r="E97" s="10">
        <f t="shared" si="45"/>
        <v>976.66324361628699</v>
      </c>
      <c r="F97" s="10">
        <f t="shared" si="45"/>
        <v>1200</v>
      </c>
      <c r="G97" s="10">
        <f>F97-E97</f>
        <v>223.33675638371301</v>
      </c>
      <c r="H97" s="10"/>
      <c r="L97" s="10"/>
      <c r="M97" s="10"/>
      <c r="N97" s="10"/>
      <c r="O97" s="10"/>
      <c r="P97" s="10"/>
      <c r="Q97" s="10"/>
      <c r="R97" s="10"/>
    </row>
    <row r="98" spans="1:18" x14ac:dyDescent="0.25">
      <c r="A98" s="6">
        <v>5</v>
      </c>
      <c r="B98" s="10">
        <v>976.66324361628699</v>
      </c>
      <c r="C98" s="10">
        <f>Työkaluvälilehti!$B$12*(A98-A97)*Työkaluvälilehti!$B$4</f>
        <v>1200</v>
      </c>
      <c r="D98" s="10">
        <f>C98-B98</f>
        <v>223.33675638371301</v>
      </c>
      <c r="E98" s="10">
        <f t="shared" si="45"/>
        <v>976.66324361628699</v>
      </c>
      <c r="F98" s="10">
        <f t="shared" si="45"/>
        <v>1200</v>
      </c>
      <c r="G98" s="10">
        <f>F98-E98</f>
        <v>223.33675638371301</v>
      </c>
      <c r="H98" s="10"/>
      <c r="L98" s="10"/>
      <c r="M98" s="10"/>
      <c r="N98" s="10"/>
      <c r="O98" s="10"/>
      <c r="P98" s="10"/>
      <c r="Q98" s="10"/>
      <c r="R98" s="10"/>
    </row>
    <row r="99" spans="1:18" x14ac:dyDescent="0.25">
      <c r="A99" s="6">
        <v>6</v>
      </c>
      <c r="B99" s="10">
        <v>976.66324361628699</v>
      </c>
      <c r="C99" s="10">
        <f>Työkaluvälilehti!$B$12*(A99-A98)*Työkaluvälilehti!$B$4</f>
        <v>1200</v>
      </c>
      <c r="D99" s="10">
        <f>C99-B99</f>
        <v>223.33675638371301</v>
      </c>
      <c r="E99" s="10">
        <f t="shared" si="45"/>
        <v>976.66324361628699</v>
      </c>
      <c r="F99" s="10">
        <f t="shared" si="45"/>
        <v>1200</v>
      </c>
      <c r="G99" s="10">
        <f>F99-E99</f>
        <v>223.33675638371301</v>
      </c>
      <c r="H99" s="10"/>
      <c r="L99" s="10"/>
      <c r="M99" s="10"/>
      <c r="N99" s="10"/>
      <c r="O99" s="10"/>
      <c r="P99" s="10"/>
      <c r="Q99" s="10"/>
      <c r="R99" s="10"/>
    </row>
    <row r="100" spans="1:18" x14ac:dyDescent="0.25">
      <c r="A100" s="6">
        <v>7</v>
      </c>
      <c r="B100" s="10">
        <v>976.66324361628699</v>
      </c>
      <c r="C100" s="10">
        <f>Työkaluvälilehti!$B$12*(A100-A99)*Työkaluvälilehti!$B$4</f>
        <v>1200</v>
      </c>
      <c r="D100" s="10">
        <f t="shared" ref="D100:D101" si="47">C100-B100</f>
        <v>223.33675638371301</v>
      </c>
      <c r="E100" s="10">
        <f>B100/(1+$B$1)^$A100</f>
        <v>976.66324361628699</v>
      </c>
      <c r="F100" s="10">
        <f t="shared" si="45"/>
        <v>1200</v>
      </c>
      <c r="G100" s="10">
        <f>F100-E100</f>
        <v>223.33675638371301</v>
      </c>
      <c r="H100" s="10"/>
      <c r="L100" s="10"/>
      <c r="M100" s="10"/>
      <c r="N100" s="10"/>
      <c r="O100" s="10"/>
      <c r="P100" s="10"/>
      <c r="Q100" s="10"/>
      <c r="R100" s="10"/>
    </row>
    <row r="101" spans="1:18" x14ac:dyDescent="0.25">
      <c r="A101" s="6">
        <v>8</v>
      </c>
      <c r="B101" s="10">
        <v>976.66324361628699</v>
      </c>
      <c r="C101" s="10">
        <f>Työkaluvälilehti!$B$12*(A101-A100)*Työkaluvälilehti!$B$4</f>
        <v>1200</v>
      </c>
      <c r="D101" s="10">
        <f t="shared" si="47"/>
        <v>223.33675638371301</v>
      </c>
      <c r="E101" s="10">
        <f t="shared" ref="E101" si="48">B101/(1+$B$1)^$A101</f>
        <v>976.66324361628699</v>
      </c>
      <c r="F101" s="10">
        <f t="shared" si="45"/>
        <v>1200</v>
      </c>
      <c r="G101" s="10">
        <f t="shared" ref="G101:G102" si="49">F101-E101</f>
        <v>223.33675638371301</v>
      </c>
      <c r="H101" s="10"/>
      <c r="L101" s="10"/>
      <c r="M101" s="10"/>
      <c r="N101" s="10"/>
      <c r="O101" s="10"/>
      <c r="P101" s="10"/>
      <c r="Q101" s="10"/>
      <c r="R101" s="10"/>
    </row>
    <row r="102" spans="1:18" x14ac:dyDescent="0.25">
      <c r="A102" s="6">
        <v>9</v>
      </c>
      <c r="B102" s="10">
        <v>976.66324361628699</v>
      </c>
      <c r="C102" s="10">
        <f>Työkaluvälilehti!$B$12*(A102-A101)*Työkaluvälilehti!$B$4</f>
        <v>1200</v>
      </c>
      <c r="D102" s="10">
        <f>C102-B102</f>
        <v>223.33675638371301</v>
      </c>
      <c r="E102" s="10">
        <f>B102/(1+$B$1)^$A102</f>
        <v>976.66324361628699</v>
      </c>
      <c r="F102" s="10">
        <f t="shared" si="45"/>
        <v>1200</v>
      </c>
      <c r="G102" s="10">
        <f t="shared" si="49"/>
        <v>223.33675638371301</v>
      </c>
      <c r="H102" s="10"/>
      <c r="L102" s="10"/>
      <c r="M102" s="10"/>
      <c r="N102" s="10"/>
      <c r="O102" s="10"/>
      <c r="P102" s="10"/>
      <c r="Q102" s="10"/>
      <c r="R102" s="10"/>
    </row>
    <row r="103" spans="1:18" x14ac:dyDescent="0.25">
      <c r="A103" s="6">
        <v>10</v>
      </c>
      <c r="B103" s="10">
        <v>1007.0096002054343</v>
      </c>
      <c r="C103" s="10">
        <f>Työkaluvälilehti!$B$12*(A103-A102)*Työkaluvälilehti!$B$4</f>
        <v>1200</v>
      </c>
      <c r="D103" s="10">
        <f>C103-B103</f>
        <v>192.99039979456575</v>
      </c>
      <c r="E103" s="10">
        <f>B103/(1+$B$1)^$A103</f>
        <v>1007.0096002054343</v>
      </c>
      <c r="F103" s="10">
        <f>C103/(1+$B$1)^$A103</f>
        <v>1200</v>
      </c>
      <c r="G103" s="10">
        <f>F103-E103</f>
        <v>192.99039979456575</v>
      </c>
      <c r="H103" s="10"/>
      <c r="L103" s="10"/>
      <c r="M103" s="10"/>
      <c r="N103" s="10"/>
      <c r="O103" s="10"/>
      <c r="P103" s="10"/>
      <c r="Q103" s="10"/>
      <c r="R103" s="10"/>
    </row>
    <row r="104" spans="1:18" x14ac:dyDescent="0.25">
      <c r="A104" s="6" t="s">
        <v>103</v>
      </c>
      <c r="B104" s="10" t="s">
        <v>107</v>
      </c>
      <c r="C104" s="10" t="s">
        <v>98</v>
      </c>
      <c r="D104" s="10" t="s">
        <v>99</v>
      </c>
      <c r="E104" s="10" t="s">
        <v>100</v>
      </c>
      <c r="F104" s="10" t="s">
        <v>101</v>
      </c>
      <c r="G104" s="10" t="s">
        <v>102</v>
      </c>
      <c r="H104" s="10" t="s">
        <v>83</v>
      </c>
      <c r="L104" s="10"/>
      <c r="M104" s="10"/>
      <c r="N104" s="10"/>
      <c r="O104" s="10"/>
      <c r="P104" s="10"/>
      <c r="Q104" s="10"/>
      <c r="R104" s="10"/>
    </row>
    <row r="105" spans="1:18" x14ac:dyDescent="0.25">
      <c r="B105" s="10">
        <f>SUM(B93:B103)</f>
        <v>10150.33547842866</v>
      </c>
      <c r="C105" s="10">
        <f t="shared" ref="C105:G105" si="50">SUM(C93:C103)</f>
        <v>10800</v>
      </c>
      <c r="D105" s="10">
        <f t="shared" si="50"/>
        <v>649.66452157134086</v>
      </c>
      <c r="E105" s="10">
        <f t="shared" si="50"/>
        <v>10150.33547842866</v>
      </c>
      <c r="F105" s="10">
        <f t="shared" si="50"/>
        <v>10800</v>
      </c>
      <c r="G105" s="10">
        <f t="shared" si="50"/>
        <v>649.66452157134086</v>
      </c>
      <c r="H105" s="10" t="e">
        <f>G105/(1-(1/(1+$B$1))^(A103))</f>
        <v>#DIV/0!</v>
      </c>
      <c r="L105" s="10"/>
      <c r="M105" s="10"/>
      <c r="N105" s="10"/>
      <c r="O105" s="10"/>
      <c r="P105" s="10"/>
      <c r="Q105" s="10"/>
      <c r="R105" s="10"/>
    </row>
    <row r="106" spans="1:18" x14ac:dyDescent="0.25">
      <c r="B106" s="10" t="s">
        <v>104</v>
      </c>
      <c r="C106" s="10">
        <v>1843.033547842866</v>
      </c>
      <c r="D106" s="10"/>
      <c r="E106" s="10"/>
      <c r="F106" s="10"/>
      <c r="G106" s="10"/>
      <c r="H106" s="10"/>
      <c r="L106" s="10"/>
      <c r="M106" s="10"/>
      <c r="N106" s="10"/>
      <c r="O106" s="10"/>
      <c r="P106" s="10"/>
      <c r="Q106" s="10"/>
      <c r="R106" s="10"/>
    </row>
    <row r="107" spans="1:18" x14ac:dyDescent="0.25">
      <c r="A107" s="6" t="s">
        <v>77</v>
      </c>
      <c r="B107" s="10"/>
      <c r="C107" s="10"/>
      <c r="D107" s="10"/>
      <c r="E107" s="10"/>
      <c r="F107" s="10"/>
      <c r="G107" s="10"/>
      <c r="H107" s="10"/>
      <c r="L107" s="10"/>
      <c r="M107" s="10"/>
      <c r="N107" s="10"/>
      <c r="O107" s="10"/>
      <c r="P107" s="10"/>
      <c r="Q107" s="10"/>
      <c r="R107" s="10"/>
    </row>
    <row r="108" spans="1:18" x14ac:dyDescent="0.25">
      <c r="A108" s="6" t="s">
        <v>78</v>
      </c>
      <c r="B108" s="10" t="s">
        <v>107</v>
      </c>
      <c r="C108" s="10" t="s">
        <v>98</v>
      </c>
      <c r="D108" s="10" t="s">
        <v>99</v>
      </c>
      <c r="E108" s="10" t="s">
        <v>100</v>
      </c>
      <c r="F108" s="10" t="s">
        <v>101</v>
      </c>
      <c r="G108" s="10" t="s">
        <v>102</v>
      </c>
      <c r="H108" s="10"/>
      <c r="L108" s="10"/>
      <c r="M108" s="10"/>
      <c r="N108" s="10"/>
      <c r="O108" s="10"/>
      <c r="P108" s="10"/>
      <c r="Q108" s="10"/>
      <c r="R108" s="10"/>
    </row>
    <row r="109" spans="1:18" x14ac:dyDescent="0.25">
      <c r="A109" s="6">
        <v>0</v>
      </c>
      <c r="B109" s="10">
        <v>1241.0517070707067</v>
      </c>
      <c r="C109" s="10">
        <v>0</v>
      </c>
      <c r="D109" s="10">
        <f>C109-B109</f>
        <v>-1241.0517070707067</v>
      </c>
      <c r="E109" s="10">
        <f>B109/(1+$B$1)^$A109</f>
        <v>1241.0517070707067</v>
      </c>
      <c r="F109" s="10">
        <f>C109/(1+$B$1)^$A109</f>
        <v>0</v>
      </c>
      <c r="G109" s="10">
        <f>F109-E109</f>
        <v>-1241.0517070707067</v>
      </c>
      <c r="H109" s="10"/>
      <c r="L109" s="10"/>
      <c r="M109" s="10"/>
      <c r="N109" s="10"/>
      <c r="O109" s="10"/>
      <c r="P109" s="10"/>
      <c r="Q109" s="10"/>
      <c r="R109" s="10"/>
    </row>
    <row r="110" spans="1:18" x14ac:dyDescent="0.25">
      <c r="A110" s="6">
        <v>1</v>
      </c>
      <c r="B110" s="10">
        <v>88.968222222222209</v>
      </c>
      <c r="C110" s="10">
        <v>0</v>
      </c>
      <c r="D110" s="10">
        <f>C110-B110</f>
        <v>-88.968222222222209</v>
      </c>
      <c r="E110" s="10">
        <f>B110/(1+$B$1)^$A110</f>
        <v>88.968222222222209</v>
      </c>
      <c r="F110" s="10">
        <f t="shared" ref="F110:F112" si="51">C110/(1+$B$1)^$A110</f>
        <v>0</v>
      </c>
      <c r="G110" s="10">
        <f>F110-E110</f>
        <v>-88.968222222222209</v>
      </c>
      <c r="H110" s="10"/>
      <c r="L110" s="10"/>
      <c r="M110" s="10"/>
      <c r="N110" s="10"/>
      <c r="O110" s="10"/>
      <c r="P110" s="10"/>
      <c r="Q110" s="10"/>
      <c r="R110" s="10"/>
    </row>
    <row r="111" spans="1:18" x14ac:dyDescent="0.25">
      <c r="A111" s="6">
        <v>2</v>
      </c>
      <c r="B111" s="10">
        <v>978.55909313833445</v>
      </c>
      <c r="C111" s="10">
        <f>Työkaluvälilehti!$B$12*(A111-A110)*Työkaluvälilehti!$B$5</f>
        <v>960</v>
      </c>
      <c r="D111" s="10">
        <f t="shared" ref="D111:D112" si="52">C111-B111</f>
        <v>-18.559093138334447</v>
      </c>
      <c r="E111" s="10">
        <f t="shared" ref="E111:F118" si="53">B111/(1+$B$1)^$A111</f>
        <v>978.55909313833445</v>
      </c>
      <c r="F111" s="10">
        <f t="shared" si="51"/>
        <v>960</v>
      </c>
      <c r="G111" s="10">
        <f t="shared" ref="G111:G112" si="54">F111-E111</f>
        <v>-18.559093138334447</v>
      </c>
      <c r="H111" s="10"/>
      <c r="L111" s="10"/>
      <c r="M111" s="10"/>
      <c r="N111" s="10"/>
      <c r="O111" s="10"/>
      <c r="P111" s="10"/>
      <c r="Q111" s="10"/>
      <c r="R111" s="10"/>
    </row>
    <row r="112" spans="1:18" x14ac:dyDescent="0.25">
      <c r="A112" s="6">
        <v>3</v>
      </c>
      <c r="B112" s="10">
        <v>978.55909313833445</v>
      </c>
      <c r="C112" s="10">
        <f>Työkaluvälilehti!$B$12*(A112-A111)*Työkaluvälilehti!$B$5</f>
        <v>960</v>
      </c>
      <c r="D112" s="10">
        <f t="shared" si="52"/>
        <v>-18.559093138334447</v>
      </c>
      <c r="E112" s="10">
        <f t="shared" si="53"/>
        <v>978.55909313833445</v>
      </c>
      <c r="F112" s="10">
        <f t="shared" si="51"/>
        <v>960</v>
      </c>
      <c r="G112" s="10">
        <f t="shared" si="54"/>
        <v>-18.559093138334447</v>
      </c>
      <c r="H112" s="10"/>
      <c r="L112" s="10"/>
      <c r="M112" s="10"/>
      <c r="N112" s="10"/>
      <c r="O112" s="10"/>
      <c r="P112" s="10"/>
      <c r="Q112" s="10"/>
      <c r="R112" s="10"/>
    </row>
    <row r="113" spans="1:18" x14ac:dyDescent="0.25">
      <c r="A113" s="6">
        <v>4</v>
      </c>
      <c r="B113" s="10">
        <v>978.55909313833445</v>
      </c>
      <c r="C113" s="10">
        <f>Työkaluvälilehti!$B$12*(A113-A112)*Työkaluvälilehti!$B$5</f>
        <v>960</v>
      </c>
      <c r="D113" s="10">
        <f>C113-B113</f>
        <v>-18.559093138334447</v>
      </c>
      <c r="E113" s="10">
        <f t="shared" si="53"/>
        <v>978.55909313833445</v>
      </c>
      <c r="F113" s="10">
        <f t="shared" si="53"/>
        <v>960</v>
      </c>
      <c r="G113" s="10">
        <f>F113-E113</f>
        <v>-18.559093138334447</v>
      </c>
      <c r="H113" s="10"/>
      <c r="L113" s="10"/>
      <c r="M113" s="10"/>
      <c r="N113" s="10"/>
      <c r="O113" s="10"/>
      <c r="P113" s="10"/>
      <c r="Q113" s="10"/>
      <c r="R113" s="10"/>
    </row>
    <row r="114" spans="1:18" x14ac:dyDescent="0.25">
      <c r="A114" s="6">
        <v>5</v>
      </c>
      <c r="B114" s="10">
        <v>978.55909313833445</v>
      </c>
      <c r="C114" s="10">
        <f>Työkaluvälilehti!$B$12*(A114-A113)*Työkaluvälilehti!$B$5</f>
        <v>960</v>
      </c>
      <c r="D114" s="10">
        <f>C114-B114</f>
        <v>-18.559093138334447</v>
      </c>
      <c r="E114" s="10">
        <f t="shared" si="53"/>
        <v>978.55909313833445</v>
      </c>
      <c r="F114" s="10">
        <f t="shared" si="53"/>
        <v>960</v>
      </c>
      <c r="G114" s="10">
        <f>F114-E114</f>
        <v>-18.559093138334447</v>
      </c>
      <c r="H114" s="10"/>
      <c r="L114" s="10"/>
      <c r="M114" s="10"/>
      <c r="N114" s="10"/>
      <c r="O114" s="10"/>
      <c r="P114" s="10"/>
      <c r="Q114" s="10"/>
      <c r="R114" s="10"/>
    </row>
    <row r="115" spans="1:18" x14ac:dyDescent="0.25">
      <c r="A115" s="6">
        <v>6</v>
      </c>
      <c r="B115" s="10">
        <v>978.55909313833445</v>
      </c>
      <c r="C115" s="10">
        <f>Työkaluvälilehti!$B$12*(A115-A114)*Työkaluvälilehti!$B$5</f>
        <v>960</v>
      </c>
      <c r="D115" s="10">
        <f>C115-B115</f>
        <v>-18.559093138334447</v>
      </c>
      <c r="E115" s="10">
        <f t="shared" si="53"/>
        <v>978.55909313833445</v>
      </c>
      <c r="F115" s="10">
        <f t="shared" si="53"/>
        <v>960</v>
      </c>
      <c r="G115" s="10">
        <f>F115-E115</f>
        <v>-18.559093138334447</v>
      </c>
      <c r="H115" s="10"/>
      <c r="L115" s="10"/>
      <c r="M115" s="10"/>
      <c r="N115" s="10"/>
      <c r="O115" s="10"/>
      <c r="P115" s="10"/>
      <c r="Q115" s="10"/>
      <c r="R115" s="10"/>
    </row>
    <row r="116" spans="1:18" x14ac:dyDescent="0.25">
      <c r="A116" s="6">
        <v>7</v>
      </c>
      <c r="B116" s="10">
        <v>978.55909313833445</v>
      </c>
      <c r="C116" s="10">
        <f>Työkaluvälilehti!$B$12*(A116-A115)*Työkaluvälilehti!$B$5</f>
        <v>960</v>
      </c>
      <c r="D116" s="10">
        <f t="shared" ref="D116:D117" si="55">C116-B116</f>
        <v>-18.559093138334447</v>
      </c>
      <c r="E116" s="10">
        <f>B116/(1+$B$1)^$A116</f>
        <v>978.55909313833445</v>
      </c>
      <c r="F116" s="10">
        <f t="shared" si="53"/>
        <v>960</v>
      </c>
      <c r="G116" s="10">
        <f>F116-E116</f>
        <v>-18.559093138334447</v>
      </c>
      <c r="H116" s="10"/>
      <c r="L116" s="10"/>
      <c r="M116" s="10"/>
      <c r="N116" s="10"/>
      <c r="O116" s="10"/>
      <c r="P116" s="10"/>
      <c r="Q116" s="10"/>
      <c r="R116" s="10"/>
    </row>
    <row r="117" spans="1:18" x14ac:dyDescent="0.25">
      <c r="A117" s="6">
        <v>8</v>
      </c>
      <c r="B117" s="10">
        <v>978.55909313833445</v>
      </c>
      <c r="C117" s="10">
        <f>Työkaluvälilehti!$B$12*(A117-A116)*Työkaluvälilehti!$B$5</f>
        <v>960</v>
      </c>
      <c r="D117" s="10">
        <f t="shared" si="55"/>
        <v>-18.559093138334447</v>
      </c>
      <c r="E117" s="10">
        <f t="shared" ref="E117" si="56">B117/(1+$B$1)^$A117</f>
        <v>978.55909313833445</v>
      </c>
      <c r="F117" s="10">
        <f t="shared" si="53"/>
        <v>960</v>
      </c>
      <c r="G117" s="10">
        <f t="shared" ref="G117:G118" si="57">F117-E117</f>
        <v>-18.559093138334447</v>
      </c>
      <c r="H117" s="10"/>
      <c r="L117" s="10"/>
      <c r="M117" s="10"/>
      <c r="N117" s="10"/>
      <c r="O117" s="10"/>
      <c r="P117" s="10"/>
      <c r="Q117" s="10"/>
      <c r="R117" s="10"/>
    </row>
    <row r="118" spans="1:18" x14ac:dyDescent="0.25">
      <c r="A118" s="6">
        <v>9</v>
      </c>
      <c r="B118" s="10">
        <v>978.55909313833445</v>
      </c>
      <c r="C118" s="10">
        <f>Työkaluvälilehti!$B$12*(A118-A117)*Työkaluvälilehti!$B$5</f>
        <v>960</v>
      </c>
      <c r="D118" s="10">
        <f>C118-B118</f>
        <v>-18.559093138334447</v>
      </c>
      <c r="E118" s="10">
        <f>B118/(1+$B$1)^$A118</f>
        <v>978.55909313833445</v>
      </c>
      <c r="F118" s="10">
        <f t="shared" si="53"/>
        <v>960</v>
      </c>
      <c r="G118" s="10">
        <f t="shared" si="57"/>
        <v>-18.559093138334447</v>
      </c>
      <c r="H118" s="10"/>
      <c r="L118" s="10"/>
      <c r="M118" s="10"/>
      <c r="N118" s="10"/>
      <c r="O118" s="10"/>
      <c r="P118" s="10"/>
      <c r="Q118" s="10"/>
      <c r="R118" s="10"/>
    </row>
    <row r="119" spans="1:18" x14ac:dyDescent="0.25">
      <c r="A119" s="6">
        <v>10</v>
      </c>
      <c r="B119" s="10">
        <v>1008.9054497274817</v>
      </c>
      <c r="C119" s="10">
        <f>Työkaluvälilehti!$B$12*(A119-A118)*Työkaluvälilehti!$B$5</f>
        <v>960</v>
      </c>
      <c r="D119" s="10">
        <f>C119-B119</f>
        <v>-48.905449727481709</v>
      </c>
      <c r="E119" s="10">
        <f>B119/(1+$B$1)^$A119</f>
        <v>1008.9054497274817</v>
      </c>
      <c r="F119" s="10">
        <f>C119/(1+$B$1)^$A119</f>
        <v>960</v>
      </c>
      <c r="G119" s="10">
        <f>F119-E119</f>
        <v>-48.905449727481709</v>
      </c>
      <c r="H119" s="10"/>
      <c r="L119" s="10"/>
      <c r="M119" s="10"/>
      <c r="N119" s="10"/>
      <c r="O119" s="10"/>
      <c r="P119" s="10"/>
      <c r="Q119" s="10"/>
      <c r="R119" s="10"/>
    </row>
    <row r="120" spans="1:18" x14ac:dyDescent="0.25">
      <c r="A120" s="6" t="s">
        <v>103</v>
      </c>
      <c r="B120" s="10" t="s">
        <v>107</v>
      </c>
      <c r="C120" s="10" t="s">
        <v>98</v>
      </c>
      <c r="D120" s="10" t="s">
        <v>99</v>
      </c>
      <c r="E120" s="10" t="s">
        <v>100</v>
      </c>
      <c r="F120" s="10" t="s">
        <v>101</v>
      </c>
      <c r="G120" s="10" t="s">
        <v>102</v>
      </c>
      <c r="H120" s="10" t="s">
        <v>83</v>
      </c>
      <c r="L120" s="10"/>
      <c r="M120" s="10"/>
      <c r="N120" s="10"/>
      <c r="O120" s="10"/>
      <c r="P120" s="10"/>
      <c r="Q120" s="10"/>
      <c r="R120" s="10"/>
    </row>
    <row r="121" spans="1:18" x14ac:dyDescent="0.25">
      <c r="B121" s="10">
        <f>SUM(B109:B119)</f>
        <v>10167.398124127083</v>
      </c>
      <c r="C121" s="10">
        <f t="shared" ref="C121:G121" si="58">SUM(C109:C119)</f>
        <v>8640</v>
      </c>
      <c r="D121" s="10">
        <f t="shared" si="58"/>
        <v>-1527.3981241270862</v>
      </c>
      <c r="E121" s="10">
        <f t="shared" si="58"/>
        <v>10167.398124127083</v>
      </c>
      <c r="F121" s="10">
        <f t="shared" si="58"/>
        <v>8640</v>
      </c>
      <c r="G121" s="10">
        <f t="shared" si="58"/>
        <v>-1527.3981241270862</v>
      </c>
      <c r="H121" s="10" t="e">
        <f>G121/(1-(1/(1+$B$1))^(A119))</f>
        <v>#DIV/0!</v>
      </c>
      <c r="L121" s="10"/>
      <c r="M121" s="10"/>
      <c r="N121" s="10"/>
      <c r="O121" s="10"/>
      <c r="P121" s="10"/>
      <c r="Q121" s="10"/>
      <c r="R121" s="10"/>
    </row>
    <row r="122" spans="1:18" x14ac:dyDescent="0.25">
      <c r="B122" s="10" t="s">
        <v>104</v>
      </c>
      <c r="C122" s="10">
        <v>1844.739812412708</v>
      </c>
      <c r="D122" s="10"/>
      <c r="E122" s="10"/>
      <c r="F122" s="10"/>
      <c r="G122" s="10"/>
      <c r="H122" s="10"/>
      <c r="L122" s="10"/>
      <c r="M122" s="10"/>
      <c r="N122" s="10"/>
      <c r="O122" s="10"/>
      <c r="P122" s="10"/>
      <c r="Q122" s="10"/>
      <c r="R122" s="10"/>
    </row>
    <row r="123" spans="1:18" x14ac:dyDescent="0.25">
      <c r="A123" s="6" t="s">
        <v>11</v>
      </c>
      <c r="B123" s="10"/>
      <c r="C123" s="10"/>
      <c r="D123" s="10"/>
      <c r="E123" s="10"/>
      <c r="F123" s="10"/>
      <c r="G123" s="10"/>
      <c r="H123" s="10"/>
      <c r="L123" s="10"/>
      <c r="M123" s="10"/>
      <c r="N123" s="10"/>
      <c r="O123" s="10"/>
      <c r="P123" s="10"/>
      <c r="Q123" s="10"/>
      <c r="R123" s="10"/>
    </row>
    <row r="124" spans="1:18" x14ac:dyDescent="0.25">
      <c r="A124" s="6" t="s">
        <v>78</v>
      </c>
      <c r="B124" s="10" t="s">
        <v>107</v>
      </c>
      <c r="C124" s="10" t="s">
        <v>98</v>
      </c>
      <c r="D124" s="10" t="s">
        <v>99</v>
      </c>
      <c r="E124" s="10" t="s">
        <v>100</v>
      </c>
      <c r="F124" s="10" t="s">
        <v>101</v>
      </c>
      <c r="G124" s="10" t="s">
        <v>102</v>
      </c>
      <c r="H124" s="10"/>
      <c r="L124" s="10"/>
      <c r="M124" s="10"/>
      <c r="N124" s="10"/>
      <c r="O124" s="10"/>
      <c r="P124" s="10"/>
      <c r="Q124" s="10"/>
      <c r="R124" s="10"/>
    </row>
    <row r="125" spans="1:18" x14ac:dyDescent="0.25">
      <c r="A125" s="6">
        <v>0</v>
      </c>
      <c r="B125" s="10">
        <v>964.17833333333328</v>
      </c>
      <c r="C125" s="10">
        <v>0</v>
      </c>
      <c r="D125" s="10">
        <f>C125-B125</f>
        <v>-964.17833333333328</v>
      </c>
      <c r="E125" s="10">
        <f>B125/(1+$B$1)^$A125</f>
        <v>964.17833333333328</v>
      </c>
      <c r="F125" s="10">
        <f>C125/(1+$B$1)^$A125</f>
        <v>0</v>
      </c>
      <c r="G125" s="10">
        <f>F125-E125</f>
        <v>-964.17833333333328</v>
      </c>
      <c r="H125" s="10"/>
      <c r="L125" s="10"/>
      <c r="M125" s="10"/>
      <c r="N125" s="10"/>
      <c r="O125" s="10"/>
      <c r="P125" s="10"/>
      <c r="Q125" s="10"/>
      <c r="R125" s="10"/>
    </row>
    <row r="126" spans="1:18" x14ac:dyDescent="0.25">
      <c r="A126" s="6">
        <v>1</v>
      </c>
      <c r="B126" s="10">
        <v>685.90959595959589</v>
      </c>
      <c r="C126" s="10">
        <v>0</v>
      </c>
      <c r="D126" s="10">
        <f>C126-B126</f>
        <v>-685.90959595959589</v>
      </c>
      <c r="E126" s="10">
        <f>B126/(1+$B$1)^$A126</f>
        <v>685.90959595959589</v>
      </c>
      <c r="F126" s="10">
        <f t="shared" ref="F126:F128" si="59">C126/(1+$B$1)^$A126</f>
        <v>0</v>
      </c>
      <c r="G126" s="10">
        <f>F126-E126</f>
        <v>-685.90959595959589</v>
      </c>
      <c r="H126" s="10"/>
      <c r="L126" s="10"/>
      <c r="M126" s="10"/>
      <c r="N126" s="10"/>
      <c r="O126" s="10"/>
      <c r="P126" s="10"/>
      <c r="Q126" s="10"/>
      <c r="R126" s="10"/>
    </row>
    <row r="127" spans="1:18" x14ac:dyDescent="0.25">
      <c r="A127" s="6">
        <v>2</v>
      </c>
      <c r="B127" s="10">
        <v>1276.4018032045042</v>
      </c>
      <c r="C127" s="10">
        <f>Työkaluvälilehti!$B$13*(A127-A126)*Työkaluvälilehti!$B$6</f>
        <v>1500</v>
      </c>
      <c r="D127" s="10">
        <f t="shared" ref="D127:D128" si="60">C127-B127</f>
        <v>223.59819679549582</v>
      </c>
      <c r="E127" s="10">
        <f>B127/(1+$B$1)^$A127</f>
        <v>1276.4018032045042</v>
      </c>
      <c r="F127" s="10">
        <f>C127/(1+$B$1)^$A127</f>
        <v>1500</v>
      </c>
      <c r="G127" s="10">
        <f>F127-E127</f>
        <v>223.59819679549582</v>
      </c>
      <c r="H127" s="10"/>
      <c r="L127" s="10"/>
      <c r="M127" s="10"/>
      <c r="N127" s="10"/>
      <c r="O127" s="10"/>
      <c r="P127" s="10"/>
      <c r="Q127" s="10"/>
      <c r="R127" s="10"/>
    </row>
    <row r="128" spans="1:18" x14ac:dyDescent="0.25">
      <c r="A128" s="6">
        <v>3</v>
      </c>
      <c r="B128" s="10">
        <v>1276.4018032045042</v>
      </c>
      <c r="C128" s="10">
        <f>Työkaluvälilehti!$B$13*(A128-A127)*Työkaluvälilehti!$B$6</f>
        <v>1500</v>
      </c>
      <c r="D128" s="10">
        <f t="shared" si="60"/>
        <v>223.59819679549582</v>
      </c>
      <c r="E128" s="10">
        <f t="shared" ref="E128:F133" si="61">B128/(1+$B$1)^$A128</f>
        <v>1276.4018032045042</v>
      </c>
      <c r="F128" s="10">
        <f t="shared" si="59"/>
        <v>1500</v>
      </c>
      <c r="G128" s="10">
        <f t="shared" ref="G128" si="62">F128-E128</f>
        <v>223.59819679549582</v>
      </c>
      <c r="H128" s="10"/>
      <c r="L128" s="10"/>
      <c r="M128" s="10"/>
      <c r="N128" s="10"/>
      <c r="O128" s="10"/>
      <c r="P128" s="10"/>
      <c r="Q128" s="10"/>
      <c r="R128" s="10"/>
    </row>
    <row r="129" spans="1:18" x14ac:dyDescent="0.25">
      <c r="A129" s="6">
        <v>4</v>
      </c>
      <c r="B129" s="10">
        <v>1276.4018032045042</v>
      </c>
      <c r="C129" s="10">
        <f>Työkaluvälilehti!$B$13*(A129-A128)*Työkaluvälilehti!$B$6</f>
        <v>1500</v>
      </c>
      <c r="D129" s="10">
        <f>C129-B129</f>
        <v>223.59819679549582</v>
      </c>
      <c r="E129" s="10">
        <f t="shared" si="61"/>
        <v>1276.4018032045042</v>
      </c>
      <c r="F129" s="10">
        <f t="shared" si="61"/>
        <v>1500</v>
      </c>
      <c r="G129" s="10">
        <f>F129-E129</f>
        <v>223.59819679549582</v>
      </c>
      <c r="H129" s="10"/>
      <c r="L129" s="10"/>
      <c r="M129" s="10"/>
      <c r="N129" s="10"/>
      <c r="O129" s="10"/>
      <c r="P129" s="10"/>
      <c r="Q129" s="10"/>
      <c r="R129" s="10"/>
    </row>
    <row r="130" spans="1:18" x14ac:dyDescent="0.25">
      <c r="A130" s="6">
        <v>5</v>
      </c>
      <c r="B130" s="10">
        <v>1802.0945163827987</v>
      </c>
      <c r="C130" s="10">
        <f>Työkaluvälilehti!$B$13*(A130-A129)*Työkaluvälilehti!$B$6</f>
        <v>1500</v>
      </c>
      <c r="D130" s="10">
        <f>C130-B130</f>
        <v>-302.0945163827987</v>
      </c>
      <c r="E130" s="10">
        <f t="shared" si="61"/>
        <v>1802.0945163827987</v>
      </c>
      <c r="F130" s="10">
        <f t="shared" si="61"/>
        <v>1500</v>
      </c>
      <c r="G130" s="10">
        <f>F130-E130</f>
        <v>-302.0945163827987</v>
      </c>
      <c r="H130" s="10"/>
      <c r="L130" s="10"/>
      <c r="M130" s="10"/>
      <c r="N130" s="10"/>
      <c r="O130" s="10"/>
      <c r="P130" s="10"/>
      <c r="Q130" s="10"/>
      <c r="R130" s="10"/>
    </row>
    <row r="131" spans="1:18" x14ac:dyDescent="0.25">
      <c r="A131" s="6">
        <v>6</v>
      </c>
      <c r="B131" s="10">
        <v>1276.4018032045042</v>
      </c>
      <c r="C131" s="10">
        <f>Työkaluvälilehti!$B$13*(A131-A130)*Työkaluvälilehti!$B$6</f>
        <v>1500</v>
      </c>
      <c r="D131" s="10">
        <f>C131-B131</f>
        <v>223.59819679549582</v>
      </c>
      <c r="E131" s="10">
        <f t="shared" si="61"/>
        <v>1276.4018032045042</v>
      </c>
      <c r="F131" s="10">
        <f t="shared" si="61"/>
        <v>1500</v>
      </c>
      <c r="G131" s="10">
        <f>F131-E131</f>
        <v>223.59819679549582</v>
      </c>
      <c r="H131" s="10"/>
      <c r="L131" s="10"/>
      <c r="M131" s="10"/>
      <c r="N131" s="10"/>
      <c r="O131" s="10"/>
      <c r="P131" s="10"/>
      <c r="Q131" s="10"/>
      <c r="R131" s="10"/>
    </row>
    <row r="132" spans="1:18" x14ac:dyDescent="0.25">
      <c r="A132" s="6">
        <v>7</v>
      </c>
      <c r="B132" s="10">
        <v>1276.4018032045042</v>
      </c>
      <c r="C132" s="10">
        <f>Työkaluvälilehti!$B$13*(A132-A131)*Työkaluvälilehti!$B$6</f>
        <v>1500</v>
      </c>
      <c r="D132" s="10">
        <f t="shared" ref="D132:D133" si="63">C132-B132</f>
        <v>223.59819679549582</v>
      </c>
      <c r="E132" s="10">
        <f t="shared" si="61"/>
        <v>1276.4018032045042</v>
      </c>
      <c r="F132" s="10">
        <f t="shared" si="61"/>
        <v>1500</v>
      </c>
      <c r="G132" s="10">
        <f>F132-E132</f>
        <v>223.59819679549582</v>
      </c>
      <c r="H132" s="10"/>
      <c r="L132" s="10"/>
      <c r="M132" s="10"/>
      <c r="N132" s="10"/>
      <c r="O132" s="10"/>
      <c r="P132" s="10"/>
      <c r="Q132" s="10"/>
      <c r="R132" s="10"/>
    </row>
    <row r="133" spans="1:18" x14ac:dyDescent="0.25">
      <c r="A133" s="6">
        <v>8</v>
      </c>
      <c r="B133" s="10">
        <v>1276.4018032045042</v>
      </c>
      <c r="C133" s="10">
        <f>Työkaluvälilehti!$B$13*(A133-A132)*Työkaluvälilehti!$B$6</f>
        <v>1500</v>
      </c>
      <c r="D133" s="10">
        <f t="shared" si="63"/>
        <v>223.59819679549582</v>
      </c>
      <c r="E133" s="10">
        <f t="shared" si="61"/>
        <v>1276.4018032045042</v>
      </c>
      <c r="F133" s="10">
        <f>C133/(1+$B$1)^$A133</f>
        <v>1500</v>
      </c>
      <c r="G133" s="10">
        <f t="shared" ref="G133:G134" si="64">F133-E133</f>
        <v>223.59819679549582</v>
      </c>
      <c r="H133" s="10"/>
      <c r="L133" s="10"/>
      <c r="M133" s="10"/>
      <c r="N133" s="10"/>
      <c r="O133" s="10"/>
      <c r="P133" s="10"/>
      <c r="Q133" s="10"/>
      <c r="R133" s="10"/>
    </row>
    <row r="134" spans="1:18" x14ac:dyDescent="0.25">
      <c r="A134" s="6">
        <v>9</v>
      </c>
      <c r="B134" s="10">
        <v>1276.4018032045042</v>
      </c>
      <c r="C134" s="10">
        <f>Työkaluvälilehti!$B$13*(A134-A133)*Työkaluvälilehti!$B$6</f>
        <v>1500</v>
      </c>
      <c r="D134" s="10">
        <f>C134-B134</f>
        <v>223.59819679549582</v>
      </c>
      <c r="E134" s="10">
        <f>B134/(1+$B$1)^$A134</f>
        <v>1276.4018032045042</v>
      </c>
      <c r="F134" s="10">
        <f>C134/(1+$B$1)^$A134</f>
        <v>1500</v>
      </c>
      <c r="G134" s="10">
        <f t="shared" si="64"/>
        <v>223.59819679549582</v>
      </c>
      <c r="H134" s="10"/>
      <c r="L134" s="10"/>
      <c r="M134" s="10"/>
      <c r="N134" s="10"/>
      <c r="O134" s="10"/>
      <c r="P134" s="10"/>
      <c r="Q134" s="10"/>
      <c r="R134" s="10"/>
    </row>
    <row r="135" spans="1:18" x14ac:dyDescent="0.25">
      <c r="A135" s="6">
        <v>10</v>
      </c>
      <c r="B135" s="10">
        <v>651.18492042320304</v>
      </c>
      <c r="C135" s="10">
        <f>Työkaluvälilehti!$B$13*(A135-A134)*Työkaluvälilehti!$B$6</f>
        <v>1500</v>
      </c>
      <c r="D135" s="10">
        <f>C135-B135</f>
        <v>848.81507957679696</v>
      </c>
      <c r="E135" s="10">
        <f>B135/(1+$B$1)^$A135</f>
        <v>651.18492042320304</v>
      </c>
      <c r="F135" s="10">
        <f>C135/(1+$B$1)^$A135</f>
        <v>1500</v>
      </c>
      <c r="G135" s="10">
        <f>F135-E135</f>
        <v>848.81507957679696</v>
      </c>
      <c r="H135" s="10"/>
      <c r="L135" s="10"/>
      <c r="M135" s="10"/>
      <c r="N135" s="10"/>
      <c r="O135" s="10"/>
      <c r="P135" s="10"/>
      <c r="Q135" s="10"/>
      <c r="R135" s="10"/>
    </row>
    <row r="136" spans="1:18" x14ac:dyDescent="0.25">
      <c r="A136" s="6" t="s">
        <v>103</v>
      </c>
      <c r="B136" s="10" t="s">
        <v>107</v>
      </c>
      <c r="C136" s="10" t="s">
        <v>98</v>
      </c>
      <c r="D136" s="10" t="s">
        <v>99</v>
      </c>
      <c r="E136" s="10" t="s">
        <v>100</v>
      </c>
      <c r="F136" s="10" t="s">
        <v>101</v>
      </c>
      <c r="G136" s="10" t="s">
        <v>102</v>
      </c>
      <c r="H136" s="10" t="s">
        <v>83</v>
      </c>
      <c r="L136" s="10"/>
      <c r="M136" s="10"/>
      <c r="N136" s="10"/>
      <c r="O136" s="10"/>
      <c r="P136" s="10"/>
      <c r="Q136" s="10"/>
      <c r="R136" s="10"/>
    </row>
    <row r="137" spans="1:18" x14ac:dyDescent="0.25">
      <c r="B137" s="10">
        <f>SUM(B125:B135)</f>
        <v>13038.179988530461</v>
      </c>
      <c r="C137" s="10">
        <f t="shared" ref="C137:F137" si="65">SUM(C125:C135)</f>
        <v>13500</v>
      </c>
      <c r="D137" s="10">
        <f t="shared" si="65"/>
        <v>461.82001146953985</v>
      </c>
      <c r="E137" s="10">
        <f t="shared" si="65"/>
        <v>13038.179988530461</v>
      </c>
      <c r="F137" s="10">
        <f t="shared" si="65"/>
        <v>13500</v>
      </c>
      <c r="G137" s="10">
        <f>SUM(G125:G135)</f>
        <v>461.82001146953985</v>
      </c>
      <c r="H137" s="10" t="e">
        <f>G137/(1-(1/(1+$B$1))^(A135))</f>
        <v>#DIV/0!</v>
      </c>
      <c r="L137" s="10"/>
      <c r="M137" s="10"/>
      <c r="N137" s="10"/>
      <c r="O137" s="10"/>
      <c r="P137" s="10"/>
      <c r="Q137" s="10"/>
      <c r="R137" s="10"/>
    </row>
  </sheetData>
  <sheetProtection selectLockedCells="1" selectUnlockedCells="1"/>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3E27CB-FFAB-4B91-8F1A-29AA3E629932}">
  <dimension ref="A1:AG1048576"/>
  <sheetViews>
    <sheetView zoomScaleNormal="100" workbookViewId="0">
      <selection activeCell="D1" sqref="D1:D1048576"/>
    </sheetView>
  </sheetViews>
  <sheetFormatPr defaultColWidth="4.7109375" defaultRowHeight="15" x14ac:dyDescent="0.25"/>
  <cols>
    <col min="1" max="1" width="4.85546875" style="6" bestFit="1" customWidth="1"/>
    <col min="2" max="2" width="6" style="6" bestFit="1" customWidth="1"/>
    <col min="3" max="3" width="5" style="6" bestFit="1" customWidth="1"/>
    <col min="4" max="4" width="5.7109375" style="6" bestFit="1" customWidth="1"/>
    <col min="5" max="5" width="7.7109375" style="6" customWidth="1"/>
    <col min="6" max="6" width="7.28515625" style="37" customWidth="1"/>
    <col min="7" max="7" width="4.7109375" style="6"/>
    <col min="8" max="8" width="4.85546875" style="6" bestFit="1" customWidth="1"/>
    <col min="9" max="9" width="5" style="6" bestFit="1" customWidth="1"/>
    <col min="10" max="10" width="5" style="44" bestFit="1" customWidth="1"/>
    <col min="11" max="11" width="4.7109375" style="6"/>
    <col min="12" max="12" width="8.85546875" style="39" bestFit="1" customWidth="1"/>
    <col min="13" max="13" width="4.85546875" style="6" bestFit="1" customWidth="1"/>
    <col min="14" max="14" width="4.7109375" style="6"/>
    <col min="15" max="15" width="6.5703125" style="6" bestFit="1" customWidth="1"/>
    <col min="16" max="16384" width="4.7109375" style="6"/>
  </cols>
  <sheetData>
    <row r="1" spans="1:33" x14ac:dyDescent="0.25">
      <c r="A1" s="6" t="s">
        <v>61</v>
      </c>
      <c r="C1" s="7">
        <f>Työkaluvälilehti!B16</f>
        <v>150</v>
      </c>
      <c r="D1" s="6" t="s">
        <v>62</v>
      </c>
    </row>
    <row r="2" spans="1:33" x14ac:dyDescent="0.25">
      <c r="A2" s="6" t="s">
        <v>13</v>
      </c>
      <c r="C2" s="8">
        <f>Työkaluvälilehti!B17</f>
        <v>0.05</v>
      </c>
    </row>
    <row r="3" spans="1:33" x14ac:dyDescent="0.25">
      <c r="A3" s="9" t="s">
        <v>108</v>
      </c>
      <c r="H3" s="6" t="s">
        <v>109</v>
      </c>
      <c r="I3" s="6" t="s">
        <v>37</v>
      </c>
      <c r="J3" s="44" t="s">
        <v>17</v>
      </c>
      <c r="L3" s="39" t="s">
        <v>110</v>
      </c>
      <c r="M3" s="6" t="s">
        <v>110</v>
      </c>
    </row>
    <row r="4" spans="1:33" x14ac:dyDescent="0.25">
      <c r="A4" s="9" t="s">
        <v>111</v>
      </c>
      <c r="B4" s="9" t="s">
        <v>112</v>
      </c>
      <c r="C4" s="9" t="s">
        <v>113</v>
      </c>
      <c r="D4" s="9" t="s">
        <v>114</v>
      </c>
      <c r="H4" s="6">
        <v>15</v>
      </c>
      <c r="I4" s="10">
        <f>INDEX($D$7:$D$262,15)</f>
        <v>397.32125386826601</v>
      </c>
      <c r="J4" s="45" cm="1">
        <f t="array" ref="J4">INDEX($D$7:$D$262,M4)</f>
        <v>1048.3050350390442</v>
      </c>
      <c r="L4" s="39">
        <f>15</f>
        <v>15</v>
      </c>
      <c r="M4" s="6">
        <v>16</v>
      </c>
    </row>
    <row r="5" spans="1:33" ht="15.75" x14ac:dyDescent="0.25">
      <c r="B5" s="9">
        <v>15</v>
      </c>
      <c r="D5" s="11"/>
      <c r="H5" s="6">
        <v>16</v>
      </c>
      <c r="I5" s="10" cm="1">
        <f t="array" ref="I5">INDEX($D$7:$D$262,L5)</f>
        <v>528.3378575924371</v>
      </c>
      <c r="J5" s="45" cm="1">
        <f t="array" ref="J5">INDEX($D$7:$D$262,M5)</f>
        <v>1258.7286832121372</v>
      </c>
      <c r="L5" s="39">
        <f>L4+16</f>
        <v>31</v>
      </c>
      <c r="M5" s="6">
        <f>M4+16</f>
        <v>32</v>
      </c>
      <c r="V5" s="36"/>
    </row>
    <row r="6" spans="1:33" x14ac:dyDescent="0.25">
      <c r="B6" s="10">
        <f>0.85095*(((100-8.48)/100)*((-0.053*(B5^2))+(5.58*B5)-26.142))</f>
        <v>35.538498515520011</v>
      </c>
      <c r="C6" s="10"/>
      <c r="D6" s="12"/>
      <c r="H6" s="6">
        <v>17</v>
      </c>
      <c r="I6" s="10" cm="1">
        <f t="array" ref="I6">INDEX($D$7:$D$262,L6)</f>
        <v>640.34063071437777</v>
      </c>
      <c r="J6" s="45" cm="1">
        <f t="array" ref="J6">INDEX($D$7:$D$262,M6)</f>
        <v>1401.2079162501898</v>
      </c>
      <c r="L6" s="39">
        <f t="shared" ref="L6:M19" si="0">L5+16</f>
        <v>47</v>
      </c>
      <c r="M6" s="6">
        <f t="shared" si="0"/>
        <v>48</v>
      </c>
      <c r="AG6" s="6" t="s">
        <v>115</v>
      </c>
    </row>
    <row r="7" spans="1:33" x14ac:dyDescent="0.25">
      <c r="A7" s="6">
        <v>0</v>
      </c>
      <c r="B7" s="10">
        <v>-370</v>
      </c>
      <c r="C7" s="10">
        <f>(1+$C$2)^A7</f>
        <v>1</v>
      </c>
      <c r="D7" s="10">
        <f t="shared" ref="D7:D15" si="1">B7/C7</f>
        <v>-370</v>
      </c>
      <c r="E7" s="71">
        <f>B7/(1+$C$2)^(A7)</f>
        <v>-370</v>
      </c>
      <c r="F7" s="38"/>
      <c r="H7" s="6">
        <v>18</v>
      </c>
      <c r="I7" s="10" cm="1">
        <f t="array" ref="I7">INDEX($D$7:$D$262,L7)</f>
        <v>735.07171021694467</v>
      </c>
      <c r="J7" s="45" cm="1">
        <f t="array" ref="J7">INDEX($D$7:$D$262,M7)</f>
        <v>1512.0208427691095</v>
      </c>
      <c r="L7" s="39">
        <f t="shared" si="0"/>
        <v>63</v>
      </c>
      <c r="M7" s="6">
        <f t="shared" si="0"/>
        <v>64</v>
      </c>
    </row>
    <row r="8" spans="1:33" x14ac:dyDescent="0.25">
      <c r="A8" s="6">
        <f>B5</f>
        <v>15</v>
      </c>
      <c r="B8" s="10">
        <f>-(2156.354+115.706*B$5-0.695*B$5^2)</f>
        <v>-3735.569</v>
      </c>
      <c r="C8" s="10">
        <f t="shared" ref="C8:C16" si="2">(1+$C$2)^A8</f>
        <v>2.0789281794113679</v>
      </c>
      <c r="D8" s="10">
        <f>B8/C8</f>
        <v>-1796.8725600985874</v>
      </c>
      <c r="E8" s="71">
        <f t="shared" ref="E8:E13" si="3">B8/(1+$C$2)^(A8)</f>
        <v>-1796.8725600985874</v>
      </c>
      <c r="F8" s="38"/>
      <c r="H8" s="6">
        <v>19</v>
      </c>
      <c r="I8" s="10" cm="1">
        <f t="array" ref="I8">INDEX($D$7:$D$262,L8)</f>
        <v>814.13955502403223</v>
      </c>
      <c r="J8" s="45" cm="1">
        <f t="array" ref="J8">INDEX($D$7:$D$262,M8)</f>
        <v>1590.1308362712261</v>
      </c>
      <c r="L8" s="39">
        <f t="shared" si="0"/>
        <v>79</v>
      </c>
      <c r="M8" s="6">
        <f t="shared" si="0"/>
        <v>80</v>
      </c>
    </row>
    <row r="9" spans="1:33" x14ac:dyDescent="0.25">
      <c r="A9" s="6">
        <f>A8</f>
        <v>15</v>
      </c>
      <c r="B9" s="10">
        <f>$C$1*B$6</f>
        <v>5330.7747773280016</v>
      </c>
      <c r="C9" s="10">
        <f t="shared" si="2"/>
        <v>2.0789281794113679</v>
      </c>
      <c r="D9" s="10">
        <f t="shared" si="1"/>
        <v>2564.1938139668532</v>
      </c>
      <c r="E9" s="71">
        <f t="shared" si="3"/>
        <v>2564.1938139668532</v>
      </c>
      <c r="F9" s="38"/>
      <c r="H9" s="6">
        <v>20</v>
      </c>
      <c r="I9" s="10" cm="1">
        <f t="array" ref="I9">INDEX($D$7:$D$262,L9)</f>
        <v>879.02824470185624</v>
      </c>
      <c r="J9" s="45" cm="1">
        <f t="array" ref="J9">INDEX($D$7:$D$262,M9)</f>
        <v>1641.6656191206616</v>
      </c>
      <c r="L9" s="39">
        <f t="shared" si="0"/>
        <v>95</v>
      </c>
      <c r="M9" s="6">
        <f t="shared" si="0"/>
        <v>96</v>
      </c>
      <c r="Y9" s="10">
        <f>SUM(D7:D13)</f>
        <v>980.60939835591307</v>
      </c>
    </row>
    <row r="10" spans="1:33" x14ac:dyDescent="0.25">
      <c r="A10" s="6">
        <f>2*A8-1</f>
        <v>29</v>
      </c>
      <c r="B10" s="10">
        <f>-(2156.354+115.706*B$5-0.695*B$5^2)</f>
        <v>-3735.569</v>
      </c>
      <c r="C10" s="10">
        <f t="shared" si="2"/>
        <v>4.1161355953815848</v>
      </c>
      <c r="D10" s="10">
        <f>B10/C10</f>
        <v>-907.54274572281076</v>
      </c>
      <c r="E10" s="71">
        <f t="shared" si="3"/>
        <v>-907.54274572281076</v>
      </c>
      <c r="F10" s="38"/>
      <c r="H10" s="6">
        <v>21</v>
      </c>
      <c r="I10" s="10" cm="1">
        <f t="array" ref="I10">INDEX($D$7:$D$262,L10)</f>
        <v>931.10617103348159</v>
      </c>
      <c r="J10" s="45" cm="1">
        <f t="array" ref="J10">INDEX($D$7:$D$262,M10)</f>
        <v>1648.3416633201603</v>
      </c>
      <c r="L10" s="39">
        <f t="shared" si="0"/>
        <v>111</v>
      </c>
      <c r="M10" s="6">
        <f t="shared" si="0"/>
        <v>112</v>
      </c>
    </row>
    <row r="11" spans="1:33" x14ac:dyDescent="0.25">
      <c r="A11" s="6">
        <f>2*A8-1</f>
        <v>29</v>
      </c>
      <c r="B11" s="10">
        <f>$C$1*B$6</f>
        <v>5330.7747773280016</v>
      </c>
      <c r="C11" s="10">
        <f t="shared" si="2"/>
        <v>4.1161355953815848</v>
      </c>
      <c r="D11" s="10">
        <f t="shared" si="1"/>
        <v>1295.0921207040105</v>
      </c>
      <c r="E11" s="71">
        <f t="shared" si="3"/>
        <v>1295.0921207040105</v>
      </c>
      <c r="F11" s="38"/>
      <c r="H11" s="6">
        <v>22</v>
      </c>
      <c r="I11" s="10" cm="1">
        <f t="array" ref="I11">INDEX($D$7:$D$262,L11)</f>
        <v>971.6341603770004</v>
      </c>
      <c r="J11" s="45" cm="1">
        <f t="array" ref="J11">INDEX($D$7:$D$262,M11)</f>
        <v>1683.6532980169932</v>
      </c>
      <c r="L11" s="39">
        <f t="shared" si="0"/>
        <v>127</v>
      </c>
      <c r="M11" s="6">
        <f t="shared" si="0"/>
        <v>128</v>
      </c>
    </row>
    <row r="12" spans="1:33" x14ac:dyDescent="0.25">
      <c r="A12" s="6">
        <f>A10+A8-1</f>
        <v>43</v>
      </c>
      <c r="B12" s="10">
        <f>-(2156.354+115.706*B$5-0.695*B$5^2)</f>
        <v>-3735.569</v>
      </c>
      <c r="C12" s="10">
        <f t="shared" si="2"/>
        <v>8.1496669328732985</v>
      </c>
      <c r="D12" s="10">
        <f t="shared" si="1"/>
        <v>-458.37075683815266</v>
      </c>
      <c r="E12" s="71">
        <f t="shared" si="3"/>
        <v>-458.37075683815266</v>
      </c>
      <c r="F12" s="38"/>
      <c r="H12" s="6">
        <v>23</v>
      </c>
      <c r="I12" s="10" cm="1">
        <f t="array" ref="I12">INDEX($D$7:$D$262,L12)</f>
        <v>1001.7730624280882</v>
      </c>
      <c r="J12" s="45" cm="1">
        <f t="array" ref="J12">INDEX($D$7:$D$262,M12)</f>
        <v>1681.2721181004213</v>
      </c>
      <c r="L12" s="39">
        <f t="shared" si="0"/>
        <v>143</v>
      </c>
      <c r="M12" s="6">
        <f t="shared" si="0"/>
        <v>144</v>
      </c>
    </row>
    <row r="13" spans="1:33" x14ac:dyDescent="0.25">
      <c r="A13" s="41">
        <f>A11+A8-1</f>
        <v>43</v>
      </c>
      <c r="B13" s="42">
        <f>$C$1*B$6</f>
        <v>5330.7747773280016</v>
      </c>
      <c r="C13" s="42">
        <f t="shared" si="2"/>
        <v>8.1496669328732985</v>
      </c>
      <c r="D13" s="42">
        <f t="shared" si="1"/>
        <v>654.10952634459989</v>
      </c>
      <c r="E13" s="71">
        <f t="shared" si="3"/>
        <v>654.10952634459989</v>
      </c>
      <c r="F13" s="43"/>
      <c r="H13" s="6">
        <v>24</v>
      </c>
      <c r="I13" s="10" cm="1">
        <f t="array" ref="I13">INDEX($D$7:$D$262,L13)</f>
        <v>1022.5908388526834</v>
      </c>
      <c r="J13" s="45" cm="1">
        <f t="array" ref="J13">INDEX($D$7:$D$262,M13)</f>
        <v>1667.0137399396854</v>
      </c>
      <c r="L13" s="39">
        <f t="shared" si="0"/>
        <v>159</v>
      </c>
      <c r="M13" s="6">
        <f t="shared" si="0"/>
        <v>160</v>
      </c>
    </row>
    <row r="14" spans="1:33" x14ac:dyDescent="0.25">
      <c r="A14" s="6">
        <f>A13</f>
        <v>43</v>
      </c>
      <c r="B14" s="10">
        <v>-481</v>
      </c>
      <c r="C14" s="10">
        <f t="shared" si="2"/>
        <v>8.1496669328732985</v>
      </c>
      <c r="D14" s="10">
        <f t="shared" si="1"/>
        <v>-59.020816919497783</v>
      </c>
      <c r="E14" s="71">
        <f>B14/(1+$C$2)^0</f>
        <v>-481</v>
      </c>
      <c r="F14" s="38"/>
      <c r="H14" s="6">
        <v>25</v>
      </c>
      <c r="I14" s="10" cm="1">
        <f t="array" ref="I14">INDEX($D$7:$D$262,L14)</f>
        <v>1035.069183227527</v>
      </c>
      <c r="J14" s="45" cm="1">
        <f t="array" ref="J14">INDEX($D$7:$D$262,M14)</f>
        <v>1643.051510739803</v>
      </c>
      <c r="L14" s="39">
        <f t="shared" si="0"/>
        <v>175</v>
      </c>
      <c r="M14" s="6">
        <f t="shared" si="0"/>
        <v>176</v>
      </c>
    </row>
    <row r="15" spans="1:33" x14ac:dyDescent="0.25">
      <c r="A15" s="6">
        <f>A14+B$5</f>
        <v>58</v>
      </c>
      <c r="B15" s="10">
        <f>-(2156.354+115.706*B$5-0.695*B$5^2)</f>
        <v>-3735.569</v>
      </c>
      <c r="C15" s="10">
        <f t="shared" si="2"/>
        <v>16.942572239567312</v>
      </c>
      <c r="D15" s="10">
        <f t="shared" si="1"/>
        <v>-220.48417130404994</v>
      </c>
      <c r="E15" s="71">
        <f t="shared" ref="E15:E16" si="4">B15/(1+$C$2)^(A15-$A$14)</f>
        <v>-1796.8725600985874</v>
      </c>
      <c r="F15" s="38"/>
      <c r="H15" s="6">
        <v>26</v>
      </c>
      <c r="I15" s="10" cm="1">
        <f t="array" ref="I15">INDEX($D$7:$D$262,L15)</f>
        <v>1040.1097018181063</v>
      </c>
      <c r="J15" s="45" cm="1">
        <f t="array" ref="J15">INDEX($D$7:$D$262,M15)</f>
        <v>1611.1885673892964</v>
      </c>
      <c r="L15" s="39">
        <f>L14+16</f>
        <v>191</v>
      </c>
      <c r="M15" s="6">
        <f t="shared" si="0"/>
        <v>192</v>
      </c>
      <c r="X15" s="10">
        <f>SUM(D7:D13)</f>
        <v>980.60939835591307</v>
      </c>
    </row>
    <row r="16" spans="1:33" x14ac:dyDescent="0.25">
      <c r="A16" s="6">
        <f>A15</f>
        <v>58</v>
      </c>
      <c r="B16" s="10">
        <f>$C$1*B$6</f>
        <v>5330.7747773280016</v>
      </c>
      <c r="C16" s="10">
        <f t="shared" si="2"/>
        <v>16.942572239567312</v>
      </c>
      <c r="D16" s="10">
        <f t="shared" ref="D16" si="5">B16/C16</f>
        <v>314.6378661959385</v>
      </c>
      <c r="E16" s="71">
        <f t="shared" si="4"/>
        <v>2564.1938139668532</v>
      </c>
      <c r="F16" s="38"/>
      <c r="H16" s="6">
        <v>27</v>
      </c>
      <c r="I16" s="10" cm="1">
        <f t="array" ref="I16">INDEX($D$7:$D$262,L16)</f>
        <v>1038.5396829278566</v>
      </c>
      <c r="J16" s="45" cm="1">
        <f t="array" ref="J16">INDEX($D$7:$D$262,M16)</f>
        <v>1572.9284152767364</v>
      </c>
      <c r="L16" s="39">
        <f t="shared" si="0"/>
        <v>207</v>
      </c>
      <c r="M16" s="6">
        <f t="shared" si="0"/>
        <v>208</v>
      </c>
    </row>
    <row r="17" spans="1:19" x14ac:dyDescent="0.25">
      <c r="A17" s="46"/>
      <c r="B17" s="47"/>
      <c r="C17" s="47"/>
      <c r="D17" s="47"/>
      <c r="E17" s="46"/>
      <c r="F17" s="48"/>
      <c r="G17" s="46"/>
      <c r="H17" s="46">
        <v>28</v>
      </c>
      <c r="I17" s="47" cm="1">
        <f t="array" ref="I17">INDEX($D$7:$D$262,L17)</f>
        <v>1031.1174808632995</v>
      </c>
      <c r="J17" s="47" cm="1">
        <f t="array" ref="J17">INDEX($D$7:$D$262,M17)</f>
        <v>1529.5301827397147</v>
      </c>
      <c r="K17" s="46"/>
      <c r="L17" s="46">
        <f t="shared" si="0"/>
        <v>223</v>
      </c>
      <c r="M17" s="46">
        <f t="shared" si="0"/>
        <v>224</v>
      </c>
    </row>
    <row r="18" spans="1:19" x14ac:dyDescent="0.25">
      <c r="A18" s="46"/>
      <c r="B18" s="47"/>
      <c r="C18" s="47"/>
      <c r="D18" s="47"/>
      <c r="E18" s="46"/>
      <c r="F18" s="48"/>
      <c r="G18" s="46"/>
      <c r="H18" s="46">
        <v>29</v>
      </c>
      <c r="I18" s="47" cm="1">
        <f t="array" ref="I18">INDEX($D$7:$D$262,L18)</f>
        <v>1018.537538970495</v>
      </c>
      <c r="J18" s="47" cm="1">
        <f t="array" ref="J18">INDEX($D$7:$D$262,M18)</f>
        <v>1482.0522760284944</v>
      </c>
      <c r="K18" s="46"/>
      <c r="L18" s="46">
        <f t="shared" si="0"/>
        <v>239</v>
      </c>
      <c r="M18" s="46">
        <f t="shared" si="0"/>
        <v>240</v>
      </c>
    </row>
    <row r="19" spans="1:19" x14ac:dyDescent="0.25">
      <c r="A19" s="46"/>
      <c r="B19" s="47"/>
      <c r="C19" s="47"/>
      <c r="D19" s="47"/>
      <c r="E19" s="46"/>
      <c r="F19" s="48"/>
      <c r="G19" s="46"/>
      <c r="H19" s="46">
        <v>30</v>
      </c>
      <c r="I19" s="47" cm="1">
        <f t="array" ref="I19">INDEX($D$7:$D$262,L19)</f>
        <v>1001.4350747032759</v>
      </c>
      <c r="J19" s="47" cm="1">
        <f t="array" ref="J19">INDEX($D$7:$D$262,M19)</f>
        <v>1431.3871630782708</v>
      </c>
      <c r="K19" s="46"/>
      <c r="L19" s="46">
        <f t="shared" si="0"/>
        <v>255</v>
      </c>
      <c r="M19" s="46">
        <f t="shared" si="0"/>
        <v>256</v>
      </c>
    </row>
    <row r="20" spans="1:19" x14ac:dyDescent="0.25">
      <c r="A20" s="49"/>
      <c r="B20" s="50"/>
      <c r="C20" s="50"/>
      <c r="D20" s="50"/>
      <c r="E20" s="49"/>
      <c r="F20" s="51"/>
    </row>
    <row r="21" spans="1:19" x14ac:dyDescent="0.25">
      <c r="A21" s="9"/>
      <c r="B21" s="52">
        <v>16</v>
      </c>
      <c r="C21" s="10"/>
      <c r="D21" s="52">
        <f>SUM(E7:E9)</f>
        <v>397.32125386826601</v>
      </c>
      <c r="E21" s="9" t="s">
        <v>116</v>
      </c>
      <c r="J21" s="44" t="s">
        <v>117</v>
      </c>
      <c r="L21" s="40">
        <f>SUM(D7:D13)</f>
        <v>980.60939835591307</v>
      </c>
      <c r="O21" s="71">
        <f>1-(1/(1+$C$2)^(B5))</f>
        <v>0.51898290190902974</v>
      </c>
      <c r="P21" s="71"/>
      <c r="Q21" s="71"/>
      <c r="R21" s="71"/>
      <c r="S21" s="71"/>
    </row>
    <row r="22" spans="1:19" x14ac:dyDescent="0.25">
      <c r="B22" s="10">
        <f>0.85095*(((100-8.48)/100)*((-0.053*(B21^2))+(5.58*B21)-26.142))</f>
        <v>38.604592540800006</v>
      </c>
      <c r="C22" s="10"/>
      <c r="D22" s="53">
        <f>L21+L23</f>
        <v>1048.3050350390442</v>
      </c>
      <c r="E22" s="9" t="s">
        <v>118</v>
      </c>
      <c r="J22" s="44" t="s">
        <v>119</v>
      </c>
      <c r="L22" s="40"/>
      <c r="O22" s="71">
        <f>SUM(E14:E16)/O21</f>
        <v>551.69689177631915</v>
      </c>
      <c r="P22" s="71" t="s">
        <v>136</v>
      </c>
      <c r="Q22" s="71"/>
      <c r="R22" s="71"/>
      <c r="S22" s="71"/>
    </row>
    <row r="23" spans="1:19" x14ac:dyDescent="0.25">
      <c r="A23" s="6">
        <v>0</v>
      </c>
      <c r="B23" s="10">
        <v>-370</v>
      </c>
      <c r="C23" s="10">
        <f t="shared" ref="C23:C86" si="6">(1+$C$2)^A23</f>
        <v>1</v>
      </c>
      <c r="D23" s="10">
        <f>B23/C23</f>
        <v>-370</v>
      </c>
      <c r="F23" s="38"/>
      <c r="J23" s="44" t="s">
        <v>120</v>
      </c>
      <c r="L23" s="58">
        <f>O23</f>
        <v>67.695636683131212</v>
      </c>
      <c r="O23" s="72">
        <f>O22/(1+$C$2)^(A14)</f>
        <v>67.695636683131212</v>
      </c>
      <c r="P23" s="71" t="s">
        <v>137</v>
      </c>
      <c r="Q23" s="71"/>
      <c r="R23" s="71"/>
      <c r="S23" s="71"/>
    </row>
    <row r="24" spans="1:19" x14ac:dyDescent="0.25">
      <c r="A24" s="6">
        <f>B21</f>
        <v>16</v>
      </c>
      <c r="B24" s="10">
        <f>-(2156.354+115.706*B$21-0.695*B$21^2)</f>
        <v>-3829.7299999999996</v>
      </c>
      <c r="C24" s="10">
        <f t="shared" si="6"/>
        <v>2.182874588381936</v>
      </c>
      <c r="D24" s="10">
        <f>B24/C24</f>
        <v>-1754.4434391161249</v>
      </c>
      <c r="F24" s="38"/>
    </row>
    <row r="25" spans="1:19" x14ac:dyDescent="0.25">
      <c r="A25" s="6">
        <f>A24</f>
        <v>16</v>
      </c>
      <c r="B25" s="10">
        <f>$C$1*B$22</f>
        <v>5790.6888811200006</v>
      </c>
      <c r="C25" s="10">
        <f t="shared" si="6"/>
        <v>2.182874588381936</v>
      </c>
      <c r="D25" s="10">
        <f>B25/C25</f>
        <v>2652.781296708562</v>
      </c>
      <c r="F25" s="38"/>
    </row>
    <row r="26" spans="1:19" x14ac:dyDescent="0.25">
      <c r="A26" s="6">
        <f>2*A24-1</f>
        <v>31</v>
      </c>
      <c r="B26" s="10">
        <f>-(2156.354+115.706*B$21-0.695*B$21^2)</f>
        <v>-3829.7299999999996</v>
      </c>
      <c r="C26" s="10">
        <f t="shared" si="6"/>
        <v>4.5380394939081974</v>
      </c>
      <c r="D26" s="10">
        <f t="shared" ref="D26:D32" si="7">B26/C26</f>
        <v>-843.91729184838016</v>
      </c>
      <c r="F26" s="38"/>
    </row>
    <row r="27" spans="1:19" x14ac:dyDescent="0.25">
      <c r="A27" s="6">
        <f>2*A24-1</f>
        <v>31</v>
      </c>
      <c r="B27" s="10">
        <f>$C$1*B$22</f>
        <v>5790.6888811200006</v>
      </c>
      <c r="C27" s="10">
        <f t="shared" si="6"/>
        <v>4.5380394939081974</v>
      </c>
      <c r="D27" s="10">
        <f t="shared" si="7"/>
        <v>1276.0331612127534</v>
      </c>
      <c r="F27" s="38"/>
    </row>
    <row r="28" spans="1:19" x14ac:dyDescent="0.25">
      <c r="A28" s="6">
        <f>A26+A24-1</f>
        <v>46</v>
      </c>
      <c r="B28" s="10">
        <f>-(2156.354+115.706*B$21-0.695*B$21^2)</f>
        <v>-3829.7299999999996</v>
      </c>
      <c r="C28" s="10">
        <f t="shared" si="6"/>
        <v>9.4342581831674508</v>
      </c>
      <c r="D28" s="10">
        <f t="shared" si="7"/>
        <v>-405.93864675369832</v>
      </c>
      <c r="F28" s="38"/>
    </row>
    <row r="29" spans="1:19" x14ac:dyDescent="0.25">
      <c r="A29" s="41">
        <f>A27+A24-1</f>
        <v>46</v>
      </c>
      <c r="B29" s="42">
        <f>$C$1*B$22</f>
        <v>5790.6888811200006</v>
      </c>
      <c r="C29" s="42">
        <f t="shared" si="6"/>
        <v>9.4342581831674508</v>
      </c>
      <c r="D29" s="42">
        <f t="shared" si="7"/>
        <v>613.79376827440592</v>
      </c>
      <c r="E29" s="41"/>
      <c r="F29" s="43"/>
      <c r="G29" s="41"/>
    </row>
    <row r="30" spans="1:19" x14ac:dyDescent="0.25">
      <c r="A30" s="6">
        <f>A29</f>
        <v>46</v>
      </c>
      <c r="B30" s="10">
        <v>-481</v>
      </c>
      <c r="C30" s="10">
        <f t="shared" si="6"/>
        <v>9.4342581831674508</v>
      </c>
      <c r="D30" s="10">
        <f t="shared" si="7"/>
        <v>-50.984400751104886</v>
      </c>
      <c r="E30" s="71">
        <f>B30/(1+$C$2)^(A30-$A$30)</f>
        <v>-481</v>
      </c>
      <c r="F30" s="38"/>
    </row>
    <row r="31" spans="1:19" x14ac:dyDescent="0.25">
      <c r="A31" s="6">
        <f>A30+B$5</f>
        <v>61</v>
      </c>
      <c r="B31" s="10">
        <f>-(2156.354+115.706*B$21-0.695*B$21^2)</f>
        <v>-3829.7299999999996</v>
      </c>
      <c r="C31" s="10">
        <f t="shared" si="6"/>
        <v>19.613145188829112</v>
      </c>
      <c r="D31" s="10">
        <f t="shared" si="7"/>
        <v>-195.26342986443936</v>
      </c>
      <c r="E31" s="71">
        <f t="shared" ref="E31:E32" si="8">B31/(1+$C$2)^(A31-$A$30)</f>
        <v>-1842.1656110719309</v>
      </c>
      <c r="F31" s="38"/>
    </row>
    <row r="32" spans="1:19" x14ac:dyDescent="0.25">
      <c r="A32" s="6">
        <f>A31</f>
        <v>61</v>
      </c>
      <c r="B32" s="10">
        <f>$C$1*B$22</f>
        <v>5790.6888811200006</v>
      </c>
      <c r="C32" s="10">
        <f t="shared" si="6"/>
        <v>19.613145188829112</v>
      </c>
      <c r="D32" s="10">
        <f t="shared" si="7"/>
        <v>295.2452972416761</v>
      </c>
      <c r="E32" s="71">
        <f t="shared" si="8"/>
        <v>2785.4203615439897</v>
      </c>
      <c r="F32" s="38"/>
    </row>
    <row r="33" spans="1:19" x14ac:dyDescent="0.25">
      <c r="A33" s="46"/>
      <c r="B33" s="47"/>
      <c r="C33" s="47"/>
      <c r="D33" s="47"/>
      <c r="E33" s="46"/>
      <c r="F33" s="48"/>
      <c r="G33" s="46"/>
    </row>
    <row r="34" spans="1:19" x14ac:dyDescent="0.25">
      <c r="A34" s="46"/>
      <c r="B34" s="47"/>
      <c r="C34" s="47"/>
      <c r="D34" s="47"/>
      <c r="E34" s="46"/>
      <c r="F34" s="48"/>
      <c r="G34" s="46"/>
    </row>
    <row r="35" spans="1:19" x14ac:dyDescent="0.25">
      <c r="A35" s="46"/>
      <c r="B35" s="47"/>
      <c r="C35" s="47"/>
      <c r="D35" s="47"/>
      <c r="E35" s="46"/>
      <c r="F35" s="48"/>
      <c r="G35" s="46"/>
    </row>
    <row r="36" spans="1:19" x14ac:dyDescent="0.25">
      <c r="A36" s="49"/>
      <c r="B36" s="50"/>
      <c r="C36" s="50"/>
      <c r="D36" s="50"/>
      <c r="F36" s="51"/>
    </row>
    <row r="37" spans="1:19" x14ac:dyDescent="0.25">
      <c r="A37" s="9"/>
      <c r="B37" s="53">
        <f>B21+1</f>
        <v>17</v>
      </c>
      <c r="C37" s="10"/>
      <c r="D37" s="52">
        <f>SUM(D23:D25)</f>
        <v>528.3378575924371</v>
      </c>
      <c r="E37" s="9" t="s">
        <v>116</v>
      </c>
      <c r="J37" s="44" t="s">
        <v>117</v>
      </c>
      <c r="L37" s="40">
        <f>SUM(D23:D29)</f>
        <v>1168.308848477518</v>
      </c>
      <c r="O37" s="71">
        <f>1-(1/(1+$C$2)^(B21))</f>
        <v>0.54188847800859974</v>
      </c>
      <c r="P37" s="71"/>
      <c r="Q37" s="71"/>
      <c r="R37" s="71"/>
      <c r="S37" s="71"/>
    </row>
    <row r="38" spans="1:19" x14ac:dyDescent="0.25">
      <c r="B38" s="54">
        <f>0.85095*(((100-8.48)/100)*((-0.053*(B37^2))+(5.58*B37)-26.142))</f>
        <v>41.588134885440013</v>
      </c>
      <c r="C38" s="10"/>
      <c r="D38" s="53">
        <f>L37+L39</f>
        <v>1258.7286832121372</v>
      </c>
      <c r="E38" s="9" t="s">
        <v>118</v>
      </c>
      <c r="J38" s="44" t="s">
        <v>119</v>
      </c>
      <c r="L38" s="40"/>
      <c r="O38" s="71">
        <f>SUM(E30:E32)/O37</f>
        <v>853.04406576572899</v>
      </c>
      <c r="P38" s="71" t="s">
        <v>136</v>
      </c>
      <c r="Q38" s="71"/>
      <c r="R38" s="71"/>
      <c r="S38" s="71"/>
    </row>
    <row r="39" spans="1:19" x14ac:dyDescent="0.25">
      <c r="A39" s="6">
        <v>0</v>
      </c>
      <c r="B39" s="54">
        <v>-370</v>
      </c>
      <c r="C39" s="10">
        <f t="shared" si="6"/>
        <v>1</v>
      </c>
      <c r="D39" s="10">
        <f>B39/C39</f>
        <v>-370</v>
      </c>
      <c r="F39" s="38"/>
      <c r="J39" s="44" t="s">
        <v>120</v>
      </c>
      <c r="L39" s="58">
        <f>O39</f>
        <v>90.41983473461913</v>
      </c>
      <c r="O39" s="72">
        <f>O38/(1+$C$2)^(A30)</f>
        <v>90.41983473461913</v>
      </c>
      <c r="P39" s="71" t="s">
        <v>137</v>
      </c>
      <c r="Q39" s="71"/>
      <c r="R39" s="71"/>
      <c r="S39" s="71"/>
    </row>
    <row r="40" spans="1:19" x14ac:dyDescent="0.25">
      <c r="A40" s="6">
        <f>B37</f>
        <v>17</v>
      </c>
      <c r="B40" s="54">
        <f>-(2156.354+115.706*B$37-0.695*B$37^2)</f>
        <v>-3922.5009999999997</v>
      </c>
      <c r="C40" s="10">
        <f t="shared" si="6"/>
        <v>2.2920183178010332</v>
      </c>
      <c r="D40" s="10">
        <f>B40/C40</f>
        <v>-1711.3741934502752</v>
      </c>
      <c r="F40" s="38"/>
      <c r="O40" s="71"/>
      <c r="P40" s="71"/>
      <c r="Q40" s="71"/>
      <c r="R40" s="71"/>
      <c r="S40" s="71"/>
    </row>
    <row r="41" spans="1:19" x14ac:dyDescent="0.25">
      <c r="A41" s="6">
        <f>A40</f>
        <v>17</v>
      </c>
      <c r="B41" s="54">
        <f>$C$1*B$38</f>
        <v>6238.220232816002</v>
      </c>
      <c r="C41" s="10">
        <f t="shared" si="6"/>
        <v>2.2920183178010332</v>
      </c>
      <c r="D41" s="10">
        <f>B41/C41</f>
        <v>2721.7148241646528</v>
      </c>
      <c r="F41" s="38"/>
    </row>
    <row r="42" spans="1:19" x14ac:dyDescent="0.25">
      <c r="A42" s="6">
        <f>2*A40-1</f>
        <v>33</v>
      </c>
      <c r="B42" s="54">
        <f>-(2156.354+115.706*B$37-0.695*B$37^2)</f>
        <v>-3922.5009999999997</v>
      </c>
      <c r="C42" s="10">
        <f t="shared" si="6"/>
        <v>5.0031885420337874</v>
      </c>
      <c r="D42" s="10">
        <f t="shared" ref="D42:D48" si="9">B42/C42</f>
        <v>-784.00023645831061</v>
      </c>
      <c r="F42" s="38"/>
    </row>
    <row r="43" spans="1:19" x14ac:dyDescent="0.25">
      <c r="A43" s="6">
        <f>2*A40-1</f>
        <v>33</v>
      </c>
      <c r="B43" s="54">
        <f>$C$1*B$38</f>
        <v>6238.220232816002</v>
      </c>
      <c r="C43" s="10">
        <f t="shared" si="6"/>
        <v>5.0031885420337874</v>
      </c>
      <c r="D43" s="10">
        <f t="shared" si="9"/>
        <v>1246.8489205246253</v>
      </c>
      <c r="F43" s="38"/>
    </row>
    <row r="44" spans="1:19" x14ac:dyDescent="0.25">
      <c r="A44" s="6">
        <f>A42+A40-1</f>
        <v>49</v>
      </c>
      <c r="B44" s="54">
        <f>-(2156.354+115.706*B$37-0.695*B$37^2)</f>
        <v>-3922.5009999999997</v>
      </c>
      <c r="C44" s="10">
        <f t="shared" si="6"/>
        <v>10.921333129289224</v>
      </c>
      <c r="D44" s="10">
        <f t="shared" si="9"/>
        <v>-359.15954156553431</v>
      </c>
      <c r="F44" s="38"/>
    </row>
    <row r="45" spans="1:19" x14ac:dyDescent="0.25">
      <c r="A45" s="41">
        <f>A43+A40-1</f>
        <v>49</v>
      </c>
      <c r="B45" s="57">
        <f>$C$1*B$38</f>
        <v>6238.220232816002</v>
      </c>
      <c r="C45" s="42">
        <f t="shared" si="6"/>
        <v>10.921333129289224</v>
      </c>
      <c r="D45" s="42">
        <f t="shared" si="9"/>
        <v>571.19585667487047</v>
      </c>
      <c r="E45" s="41"/>
      <c r="F45" s="43"/>
    </row>
    <row r="46" spans="1:19" x14ac:dyDescent="0.25">
      <c r="A46" s="6">
        <f>A45</f>
        <v>49</v>
      </c>
      <c r="B46" s="10">
        <v>-481</v>
      </c>
      <c r="C46" s="10">
        <f t="shared" si="6"/>
        <v>10.921333129289224</v>
      </c>
      <c r="D46" s="10">
        <f t="shared" si="9"/>
        <v>-44.042242307400819</v>
      </c>
      <c r="E46" s="71">
        <f>B46/(1+$C$2)^(A46-$A$46)</f>
        <v>-481</v>
      </c>
      <c r="F46" s="38"/>
    </row>
    <row r="47" spans="1:19" x14ac:dyDescent="0.25">
      <c r="A47" s="6">
        <f>A46+B$37</f>
        <v>66</v>
      </c>
      <c r="B47" s="54">
        <f>-(2156.354+115.706*B$37-0.695*B$37^2)</f>
        <v>-3922.5009999999997</v>
      </c>
      <c r="C47" s="10">
        <f t="shared" si="6"/>
        <v>25.031895587138177</v>
      </c>
      <c r="D47" s="10">
        <f t="shared" si="9"/>
        <v>-156.70011830887665</v>
      </c>
      <c r="E47" s="71">
        <f t="shared" ref="E47:E48" si="10">B47/(1+$C$2)^(A47-$A$46)</f>
        <v>-1711.3741934502752</v>
      </c>
      <c r="F47" s="38"/>
    </row>
    <row r="48" spans="1:19" x14ac:dyDescent="0.25">
      <c r="A48" s="6">
        <f>A47</f>
        <v>66</v>
      </c>
      <c r="B48" s="54">
        <f>$C$1*B$38</f>
        <v>6238.220232816002</v>
      </c>
      <c r="C48" s="10">
        <f t="shared" si="6"/>
        <v>25.031895587138177</v>
      </c>
      <c r="D48" s="10">
        <f t="shared" si="9"/>
        <v>249.21086024429201</v>
      </c>
      <c r="E48" s="71">
        <f t="shared" si="10"/>
        <v>2721.7148241646528</v>
      </c>
      <c r="F48" s="38"/>
    </row>
    <row r="49" spans="1:17" x14ac:dyDescent="0.25">
      <c r="A49" s="46"/>
      <c r="B49" s="47"/>
      <c r="C49" s="47"/>
      <c r="D49" s="47"/>
      <c r="E49" s="46"/>
      <c r="F49" s="48"/>
    </row>
    <row r="50" spans="1:17" x14ac:dyDescent="0.25">
      <c r="A50" s="46"/>
      <c r="B50" s="55"/>
      <c r="C50" s="47"/>
      <c r="D50" s="47"/>
      <c r="E50" s="46"/>
      <c r="F50" s="48"/>
    </row>
    <row r="51" spans="1:17" x14ac:dyDescent="0.25">
      <c r="A51" s="46"/>
      <c r="B51" s="55"/>
      <c r="C51" s="47"/>
      <c r="D51" s="47"/>
      <c r="E51" s="46"/>
      <c r="F51" s="48"/>
    </row>
    <row r="52" spans="1:17" x14ac:dyDescent="0.25">
      <c r="A52" s="49"/>
      <c r="B52" s="56"/>
      <c r="C52" s="50"/>
      <c r="D52" s="50"/>
      <c r="F52" s="51"/>
    </row>
    <row r="53" spans="1:17" x14ac:dyDescent="0.25">
      <c r="A53" s="9"/>
      <c r="B53" s="53">
        <f>B37+1</f>
        <v>18</v>
      </c>
      <c r="C53" s="10">
        <f t="shared" si="6"/>
        <v>1</v>
      </c>
      <c r="D53" s="52">
        <f>SUM(D39:D41)</f>
        <v>640.34063071437777</v>
      </c>
      <c r="E53" s="9" t="s">
        <v>116</v>
      </c>
      <c r="J53" s="44" t="s">
        <v>117</v>
      </c>
      <c r="L53" s="40">
        <f>SUM(D39:D45)</f>
        <v>1315.2256298900288</v>
      </c>
      <c r="O53" s="71">
        <f>1-(1/(1+$C$2)^(B37))</f>
        <v>0.56370331238914273</v>
      </c>
    </row>
    <row r="54" spans="1:17" x14ac:dyDescent="0.25">
      <c r="B54" s="54">
        <f>0.85095*(((100-8.48)/100)*((-0.053*(B53^2))+(5.58*B53)-26.142))</f>
        <v>44.489125549440004</v>
      </c>
      <c r="C54" s="10">
        <f t="shared" si="6"/>
        <v>1</v>
      </c>
      <c r="D54" s="53">
        <f>L53+L55</f>
        <v>1401.2079162501898</v>
      </c>
      <c r="E54" s="9" t="s">
        <v>118</v>
      </c>
      <c r="J54" s="44" t="s">
        <v>119</v>
      </c>
      <c r="L54" s="40"/>
      <c r="O54" s="71">
        <f>SUM(E46:E48)/O53</f>
        <v>939.04119255725914</v>
      </c>
      <c r="P54" s="71" t="s">
        <v>136</v>
      </c>
      <c r="Q54" s="71"/>
    </row>
    <row r="55" spans="1:17" x14ac:dyDescent="0.25">
      <c r="A55" s="6">
        <v>0</v>
      </c>
      <c r="B55" s="54">
        <v>-370</v>
      </c>
      <c r="C55" s="10">
        <f t="shared" si="6"/>
        <v>1</v>
      </c>
      <c r="D55" s="10">
        <f>B55/C55</f>
        <v>-370</v>
      </c>
      <c r="F55" s="38"/>
      <c r="J55" s="44" t="s">
        <v>120</v>
      </c>
      <c r="L55" s="58">
        <f>O55</f>
        <v>85.982286360160984</v>
      </c>
      <c r="O55" s="72">
        <f>O54/(1+$C$2)^(A46)</f>
        <v>85.982286360160984</v>
      </c>
      <c r="P55" s="71" t="s">
        <v>137</v>
      </c>
      <c r="Q55" s="71"/>
    </row>
    <row r="56" spans="1:17" x14ac:dyDescent="0.25">
      <c r="A56" s="6">
        <f>B53</f>
        <v>18</v>
      </c>
      <c r="B56" s="54">
        <f>-(2156.354+115.706*B$53-0.695*B$53^2)</f>
        <v>-4013.8820000000001</v>
      </c>
      <c r="C56" s="10">
        <f t="shared" si="6"/>
        <v>2.4066192336910848</v>
      </c>
      <c r="D56" s="10">
        <f>B56/C56</f>
        <v>-1667.8508772008031</v>
      </c>
      <c r="F56" s="38"/>
    </row>
    <row r="57" spans="1:17" x14ac:dyDescent="0.25">
      <c r="A57" s="6">
        <f>A56</f>
        <v>18</v>
      </c>
      <c r="B57" s="54">
        <f>$C$1*B$54</f>
        <v>6673.3688324160003</v>
      </c>
      <c r="C57" s="10">
        <f t="shared" si="6"/>
        <v>2.4066192336910848</v>
      </c>
      <c r="D57" s="10">
        <f>B57/C57</f>
        <v>2772.9225874177478</v>
      </c>
      <c r="F57" s="38"/>
    </row>
    <row r="58" spans="1:17" x14ac:dyDescent="0.25">
      <c r="A58" s="6">
        <f>2*A56-1</f>
        <v>35</v>
      </c>
      <c r="B58" s="54">
        <f>-(2156.354+115.706*B$53-0.695*B$53^2)</f>
        <v>-4013.8820000000001</v>
      </c>
      <c r="C58" s="10">
        <f t="shared" si="6"/>
        <v>5.5160153675922512</v>
      </c>
      <c r="D58" s="10">
        <f t="shared" ref="D58:D64" si="11">B58/C58</f>
        <v>-727.6778131515731</v>
      </c>
      <c r="F58" s="38"/>
    </row>
    <row r="59" spans="1:17" x14ac:dyDescent="0.25">
      <c r="A59" s="6">
        <f>2*A56-1</f>
        <v>35</v>
      </c>
      <c r="B59" s="54">
        <f>$C$1*B$54</f>
        <v>6673.3688324160003</v>
      </c>
      <c r="C59" s="10">
        <f t="shared" si="6"/>
        <v>5.5160153675922512</v>
      </c>
      <c r="D59" s="10">
        <f t="shared" si="11"/>
        <v>1209.8169398916914</v>
      </c>
      <c r="F59" s="38"/>
    </row>
    <row r="60" spans="1:17" x14ac:dyDescent="0.25">
      <c r="A60" s="6">
        <f>A58+A56-1</f>
        <v>52</v>
      </c>
      <c r="B60" s="54">
        <f>-(2156.354+115.706*B$53-0.695*B$53^2)</f>
        <v>-4013.8820000000001</v>
      </c>
      <c r="C60" s="10">
        <f t="shared" si="6"/>
        <v>12.642808263793437</v>
      </c>
      <c r="D60" s="10">
        <f t="shared" si="11"/>
        <v>-317.4834195259437</v>
      </c>
      <c r="F60" s="38"/>
    </row>
    <row r="61" spans="1:17" x14ac:dyDescent="0.25">
      <c r="A61" s="41">
        <f>A59+A56-1</f>
        <v>52</v>
      </c>
      <c r="B61" s="57">
        <f>$C$1*B$54</f>
        <v>6673.3688324160003</v>
      </c>
      <c r="C61" s="42">
        <f t="shared" si="6"/>
        <v>12.642808263793437</v>
      </c>
      <c r="D61" s="42">
        <f t="shared" si="11"/>
        <v>527.83912349024865</v>
      </c>
      <c r="E61" s="41"/>
      <c r="F61" s="43"/>
    </row>
    <row r="62" spans="1:17" x14ac:dyDescent="0.25">
      <c r="A62" s="6">
        <f>A61</f>
        <v>52</v>
      </c>
      <c r="B62" s="10">
        <v>-481</v>
      </c>
      <c r="C62" s="10">
        <f t="shared" si="6"/>
        <v>12.642808263793437</v>
      </c>
      <c r="D62" s="10">
        <f t="shared" si="11"/>
        <v>-38.045344828766495</v>
      </c>
      <c r="E62" s="71">
        <f>B62/(1+$C$2)^(A62-$A$62)</f>
        <v>-481</v>
      </c>
      <c r="F62" s="38"/>
    </row>
    <row r="63" spans="1:17" x14ac:dyDescent="0.25">
      <c r="A63" s="6">
        <f>A62+B$53</f>
        <v>70</v>
      </c>
      <c r="B63" s="54">
        <f>-(2156.354+115.706*B$53-0.695*B$53^2)</f>
        <v>-4013.8820000000001</v>
      </c>
      <c r="C63" s="10">
        <f t="shared" si="6"/>
        <v>30.426425535513872</v>
      </c>
      <c r="D63" s="10">
        <f t="shared" si="11"/>
        <v>-131.92091839098805</v>
      </c>
      <c r="E63" s="71">
        <f t="shared" ref="E63:E64" si="12">B63/(1+$C$2)^(A63-$A$62)</f>
        <v>-1667.8508772008031</v>
      </c>
      <c r="F63" s="38"/>
    </row>
    <row r="64" spans="1:17" x14ac:dyDescent="0.25">
      <c r="A64" s="6">
        <f>A63</f>
        <v>70</v>
      </c>
      <c r="B64" s="54">
        <f>$C$1*B$54</f>
        <v>6673.3688324160003</v>
      </c>
      <c r="C64" s="10">
        <f t="shared" si="6"/>
        <v>30.426425535513872</v>
      </c>
      <c r="D64" s="10">
        <f t="shared" si="11"/>
        <v>219.32805825734647</v>
      </c>
      <c r="E64" s="71">
        <f t="shared" si="12"/>
        <v>2772.9225874177478</v>
      </c>
      <c r="F64" s="38"/>
    </row>
    <row r="65" spans="1:16" x14ac:dyDescent="0.25">
      <c r="A65" s="46"/>
      <c r="B65" s="47"/>
      <c r="C65" s="47"/>
      <c r="D65" s="47"/>
      <c r="E65" s="46"/>
      <c r="F65" s="48"/>
    </row>
    <row r="66" spans="1:16" x14ac:dyDescent="0.25">
      <c r="A66" s="46"/>
      <c r="B66" s="55"/>
      <c r="C66" s="47"/>
      <c r="D66" s="47"/>
      <c r="E66" s="46"/>
      <c r="F66" s="48"/>
    </row>
    <row r="67" spans="1:16" x14ac:dyDescent="0.25">
      <c r="A67" s="46"/>
      <c r="B67" s="55"/>
      <c r="C67" s="47"/>
      <c r="D67" s="47"/>
      <c r="E67" s="46"/>
      <c r="F67" s="48"/>
    </row>
    <row r="68" spans="1:16" x14ac:dyDescent="0.25">
      <c r="A68" s="49"/>
      <c r="B68" s="56"/>
      <c r="C68" s="50"/>
      <c r="D68" s="50"/>
      <c r="E68" s="49"/>
      <c r="F68" s="51"/>
    </row>
    <row r="69" spans="1:16" x14ac:dyDescent="0.25">
      <c r="A69" s="9"/>
      <c r="B69" s="53">
        <f>B53+1</f>
        <v>19</v>
      </c>
      <c r="C69" s="10">
        <f t="shared" si="6"/>
        <v>1</v>
      </c>
      <c r="D69" s="52">
        <f>SUM(D55:D57)</f>
        <v>735.07171021694467</v>
      </c>
      <c r="E69" s="9" t="s">
        <v>116</v>
      </c>
      <c r="J69" s="44" t="s">
        <v>117</v>
      </c>
      <c r="L69" s="40">
        <f>SUM(D55:D61)</f>
        <v>1427.566540921368</v>
      </c>
      <c r="O69" s="71">
        <f>1-(1/(1+$C$2)^(B53))</f>
        <v>0.58447934513251687</v>
      </c>
    </row>
    <row r="70" spans="1:16" x14ac:dyDescent="0.25">
      <c r="B70" s="54">
        <f>0.85095*(((100-8.48)/100)*((-0.053*(B69^2))+(5.58*B69)-26.142))</f>
        <v>47.307564532800001</v>
      </c>
      <c r="C70" s="10">
        <f t="shared" si="6"/>
        <v>1</v>
      </c>
      <c r="D70" s="53">
        <f>L69+L71</f>
        <v>1512.0208427691095</v>
      </c>
      <c r="E70" s="9" t="s">
        <v>118</v>
      </c>
      <c r="J70" s="44" t="s">
        <v>119</v>
      </c>
      <c r="L70" s="40"/>
      <c r="O70" s="71">
        <f>SUM(E62:E64)/O69</f>
        <v>1067.7395453135323</v>
      </c>
      <c r="P70" s="71" t="s">
        <v>136</v>
      </c>
    </row>
    <row r="71" spans="1:16" x14ac:dyDescent="0.25">
      <c r="A71" s="6">
        <v>0</v>
      </c>
      <c r="B71" s="54">
        <v>-370</v>
      </c>
      <c r="C71" s="10">
        <f t="shared" si="6"/>
        <v>1</v>
      </c>
      <c r="D71" s="10">
        <f>B71/C71</f>
        <v>-370</v>
      </c>
      <c r="F71" s="38"/>
      <c r="J71" s="44" t="s">
        <v>120</v>
      </c>
      <c r="L71" s="58">
        <f>O71</f>
        <v>84.454301847741547</v>
      </c>
      <c r="O71" s="72">
        <f>O70/(1+$C$2)^(A62)</f>
        <v>84.454301847741547</v>
      </c>
      <c r="P71" s="71" t="s">
        <v>137</v>
      </c>
    </row>
    <row r="72" spans="1:16" x14ac:dyDescent="0.25">
      <c r="A72" s="6">
        <f>B69</f>
        <v>19</v>
      </c>
      <c r="B72" s="54">
        <f>-(2156.354+115.706*B$69-0.695*B$69^2)</f>
        <v>-4103.8729999999996</v>
      </c>
      <c r="C72" s="10">
        <f t="shared" si="6"/>
        <v>2.526950195375639</v>
      </c>
      <c r="D72" s="10">
        <f>B72/C72</f>
        <v>-1624.0419013837927</v>
      </c>
      <c r="F72" s="38"/>
    </row>
    <row r="73" spans="1:16" x14ac:dyDescent="0.25">
      <c r="A73" s="6">
        <f>A72</f>
        <v>19</v>
      </c>
      <c r="B73" s="54">
        <f>$C$1*B$70</f>
        <v>7096.1346799200001</v>
      </c>
      <c r="C73" s="10">
        <f t="shared" si="6"/>
        <v>2.526950195375639</v>
      </c>
      <c r="D73" s="10">
        <f>B73/C73</f>
        <v>2808.181456407825</v>
      </c>
      <c r="F73" s="38"/>
    </row>
    <row r="74" spans="1:16" x14ac:dyDescent="0.25">
      <c r="A74" s="6">
        <f>2*A72-1</f>
        <v>37</v>
      </c>
      <c r="B74" s="54">
        <f>-(2156.354+115.706*B$69-0.695*B$69^2)</f>
        <v>-4103.8729999999996</v>
      </c>
      <c r="C74" s="10">
        <f t="shared" si="6"/>
        <v>6.0814069427704567</v>
      </c>
      <c r="D74" s="10">
        <f t="shared" ref="D74:D80" si="13">B74/C74</f>
        <v>-674.82295439522613</v>
      </c>
      <c r="F74" s="38"/>
    </row>
    <row r="75" spans="1:16" x14ac:dyDescent="0.25">
      <c r="A75" s="6">
        <f>2*A72-1</f>
        <v>37</v>
      </c>
      <c r="B75" s="54">
        <f>$C$1*B$70</f>
        <v>7096.1346799200001</v>
      </c>
      <c r="C75" s="10">
        <f t="shared" si="6"/>
        <v>6.0814069427704567</v>
      </c>
      <c r="D75" s="10">
        <f t="shared" si="13"/>
        <v>1166.8573977533022</v>
      </c>
      <c r="F75" s="38"/>
    </row>
    <row r="76" spans="1:16" x14ac:dyDescent="0.25">
      <c r="A76" s="6">
        <f>A74+A72-1</f>
        <v>55</v>
      </c>
      <c r="B76" s="54">
        <f>-(2156.354+115.706*B$69-0.695*B$69^2)</f>
        <v>-4103.8729999999996</v>
      </c>
      <c r="C76" s="10">
        <f t="shared" si="6"/>
        <v>14.635630916373879</v>
      </c>
      <c r="D76" s="10">
        <f t="shared" si="13"/>
        <v>-280.4028759299141</v>
      </c>
      <c r="F76" s="38"/>
    </row>
    <row r="77" spans="1:16" x14ac:dyDescent="0.25">
      <c r="A77" s="41">
        <f>A75+A72-1</f>
        <v>55</v>
      </c>
      <c r="B77" s="57">
        <f>$C$1*B$70</f>
        <v>7096.1346799200001</v>
      </c>
      <c r="C77" s="42">
        <f t="shared" si="6"/>
        <v>14.635630916373879</v>
      </c>
      <c r="D77" s="42">
        <f t="shared" si="13"/>
        <v>484.8533500514194</v>
      </c>
      <c r="E77" s="41"/>
      <c r="F77" s="43"/>
    </row>
    <row r="78" spans="1:16" x14ac:dyDescent="0.25">
      <c r="A78" s="6">
        <f>A77</f>
        <v>55</v>
      </c>
      <c r="B78" s="10">
        <v>-481</v>
      </c>
      <c r="C78" s="10">
        <f t="shared" si="6"/>
        <v>14.635630916373879</v>
      </c>
      <c r="D78" s="10">
        <f t="shared" si="13"/>
        <v>-32.864999312183564</v>
      </c>
      <c r="E78" s="71">
        <f>B78/(1+$C$2)^(A78-$A$78)</f>
        <v>-481</v>
      </c>
      <c r="F78" s="38"/>
    </row>
    <row r="79" spans="1:16" x14ac:dyDescent="0.25">
      <c r="A79" s="6">
        <f>A78+B$69</f>
        <v>74</v>
      </c>
      <c r="B79" s="54">
        <f>-(2156.354+115.706*B$69-0.695*B$69^2)</f>
        <v>-4103.8729999999996</v>
      </c>
      <c r="C79" s="10">
        <f t="shared" si="6"/>
        <v>36.983510403576709</v>
      </c>
      <c r="D79" s="10">
        <f t="shared" si="13"/>
        <v>-110.96493965059386</v>
      </c>
      <c r="E79" s="71">
        <f t="shared" ref="E79:E80" si="14">B79/(1+$C$2)^(A79-$A$78)</f>
        <v>-1624.0419013837927</v>
      </c>
      <c r="F79" s="38"/>
    </row>
    <row r="80" spans="1:16" x14ac:dyDescent="0.25">
      <c r="A80" s="6">
        <f>A79</f>
        <v>74</v>
      </c>
      <c r="B80" s="54">
        <f>$C$1*B$70</f>
        <v>7096.1346799200001</v>
      </c>
      <c r="C80" s="10">
        <f t="shared" si="6"/>
        <v>36.983510403576709</v>
      </c>
      <c r="D80" s="10">
        <f t="shared" si="13"/>
        <v>191.87293478862748</v>
      </c>
      <c r="E80" s="71">
        <f t="shared" si="14"/>
        <v>2808.181456407825</v>
      </c>
      <c r="F80" s="38"/>
    </row>
    <row r="81" spans="1:16" x14ac:dyDescent="0.25">
      <c r="A81" s="46"/>
      <c r="B81" s="47"/>
      <c r="C81" s="47"/>
      <c r="D81" s="47"/>
      <c r="E81" s="46"/>
      <c r="F81" s="48"/>
    </row>
    <row r="82" spans="1:16" x14ac:dyDescent="0.25">
      <c r="A82" s="46"/>
      <c r="B82" s="55"/>
      <c r="C82" s="47"/>
      <c r="D82" s="47"/>
      <c r="E82" s="46"/>
      <c r="F82" s="48"/>
    </row>
    <row r="83" spans="1:16" x14ac:dyDescent="0.25">
      <c r="A83" s="46"/>
      <c r="B83" s="55"/>
      <c r="C83" s="47"/>
      <c r="D83" s="47"/>
      <c r="E83" s="46"/>
      <c r="F83" s="48"/>
    </row>
    <row r="84" spans="1:16" x14ac:dyDescent="0.25">
      <c r="A84" s="49"/>
      <c r="B84" s="56"/>
      <c r="C84" s="50"/>
      <c r="D84" s="50"/>
      <c r="E84" s="49"/>
      <c r="F84" s="51"/>
    </row>
    <row r="85" spans="1:16" x14ac:dyDescent="0.25">
      <c r="A85" s="9"/>
      <c r="B85" s="53">
        <f>B69+1</f>
        <v>20</v>
      </c>
      <c r="C85" s="10">
        <f t="shared" si="6"/>
        <v>1</v>
      </c>
      <c r="D85" s="52">
        <f>SUM(D71:D73)</f>
        <v>814.13955502403223</v>
      </c>
      <c r="E85" s="9" t="s">
        <v>116</v>
      </c>
      <c r="J85" s="44" t="s">
        <v>117</v>
      </c>
      <c r="L85" s="40">
        <f>SUM(D71:D77)</f>
        <v>1510.6244725036136</v>
      </c>
      <c r="O85" s="71">
        <f>1-(1/(1+$C$2)^(B69))</f>
        <v>0.60426604298334941</v>
      </c>
    </row>
    <row r="86" spans="1:16" x14ac:dyDescent="0.25">
      <c r="B86" s="54">
        <f>0.85095*(((100-8.48)/100)*((-0.053*(B85^2))+(5.58*B85)-26.142))</f>
        <v>50.043451835519996</v>
      </c>
      <c r="C86" s="10">
        <f t="shared" si="6"/>
        <v>1</v>
      </c>
      <c r="D86" s="53">
        <f>L85+L87</f>
        <v>1590.1308362712261</v>
      </c>
      <c r="E86" s="9" t="s">
        <v>118</v>
      </c>
      <c r="J86" s="44" t="s">
        <v>119</v>
      </c>
      <c r="L86" s="40"/>
      <c r="O86" s="71">
        <f>SUM(E78:E80)/O85</f>
        <v>1163.62579560574</v>
      </c>
      <c r="P86" s="71" t="s">
        <v>136</v>
      </c>
    </row>
    <row r="87" spans="1:16" x14ac:dyDescent="0.25">
      <c r="A87" s="6">
        <v>0</v>
      </c>
      <c r="B87" s="54">
        <v>-370</v>
      </c>
      <c r="C87" s="10">
        <f t="shared" ref="C87:C150" si="15">(1+$C$2)^A87</f>
        <v>1</v>
      </c>
      <c r="D87" s="10">
        <f>B87/C87</f>
        <v>-370</v>
      </c>
      <c r="F87" s="38"/>
      <c r="J87" s="44" t="s">
        <v>120</v>
      </c>
      <c r="L87" s="58">
        <f>O87</f>
        <v>79.506363767612669</v>
      </c>
      <c r="O87" s="72">
        <f>O86/(1+$C$2)^(A78)</f>
        <v>79.506363767612669</v>
      </c>
      <c r="P87" s="71" t="s">
        <v>137</v>
      </c>
    </row>
    <row r="88" spans="1:16" x14ac:dyDescent="0.25">
      <c r="A88" s="6">
        <f>B85</f>
        <v>20</v>
      </c>
      <c r="B88" s="54">
        <f>-(2156.354+115.706*B$85-0.695*B$85^2)</f>
        <v>-4192.4740000000002</v>
      </c>
      <c r="C88" s="10">
        <f t="shared" si="15"/>
        <v>2.6532977051444209</v>
      </c>
      <c r="D88" s="10">
        <f>B88/C88</f>
        <v>-1580.0993578185003</v>
      </c>
      <c r="F88" s="38"/>
    </row>
    <row r="89" spans="1:16" x14ac:dyDescent="0.25">
      <c r="A89" s="6">
        <f>A88</f>
        <v>20</v>
      </c>
      <c r="B89" s="54">
        <f>$C$1*B$86</f>
        <v>7506.5177753279995</v>
      </c>
      <c r="C89" s="10">
        <f t="shared" si="15"/>
        <v>2.6532977051444209</v>
      </c>
      <c r="D89" s="10">
        <f>B89/C89</f>
        <v>2829.1276025203565</v>
      </c>
      <c r="F89" s="38"/>
    </row>
    <row r="90" spans="1:16" x14ac:dyDescent="0.25">
      <c r="A90" s="6">
        <f>2*A88-1</f>
        <v>39</v>
      </c>
      <c r="B90" s="54">
        <f>-(2156.354+115.706*B$85-0.695*B$85^2)</f>
        <v>-4192.4740000000002</v>
      </c>
      <c r="C90" s="10">
        <f t="shared" si="15"/>
        <v>6.7047511544044287</v>
      </c>
      <c r="D90" s="10">
        <f t="shared" ref="D90:D96" si="16">B90/C90</f>
        <v>-625.29897134898374</v>
      </c>
      <c r="F90" s="38"/>
    </row>
    <row r="91" spans="1:16" x14ac:dyDescent="0.25">
      <c r="A91" s="6">
        <f>2*A88-1</f>
        <v>39</v>
      </c>
      <c r="B91" s="54">
        <f>$C$1*B$86</f>
        <v>7506.5177753279995</v>
      </c>
      <c r="C91" s="10">
        <f t="shared" si="15"/>
        <v>6.7047511544044287</v>
      </c>
      <c r="D91" s="10">
        <f t="shared" si="16"/>
        <v>1119.5818610504107</v>
      </c>
      <c r="F91" s="38"/>
    </row>
    <row r="92" spans="1:16" x14ac:dyDescent="0.25">
      <c r="A92" s="6">
        <f>A90+A88-1</f>
        <v>58</v>
      </c>
      <c r="B92" s="54">
        <f>-(2156.354+115.706*B$85-0.695*B$85^2)</f>
        <v>-4192.4740000000002</v>
      </c>
      <c r="C92" s="10">
        <f t="shared" si="15"/>
        <v>16.942572239567312</v>
      </c>
      <c r="D92" s="10">
        <f t="shared" si="16"/>
        <v>-247.45203625037456</v>
      </c>
      <c r="F92" s="38"/>
    </row>
    <row r="93" spans="1:16" x14ac:dyDescent="0.25">
      <c r="A93" s="41">
        <f>A91+A88-1</f>
        <v>58</v>
      </c>
      <c r="B93" s="57">
        <f>$C$1*B$86</f>
        <v>7506.5177753279995</v>
      </c>
      <c r="C93" s="42">
        <f t="shared" si="15"/>
        <v>16.942572239567312</v>
      </c>
      <c r="D93" s="42">
        <f t="shared" si="16"/>
        <v>443.05656007754493</v>
      </c>
      <c r="E93" s="41"/>
      <c r="F93" s="43"/>
    </row>
    <row r="94" spans="1:16" x14ac:dyDescent="0.25">
      <c r="A94" s="6">
        <f>A93</f>
        <v>58</v>
      </c>
      <c r="B94" s="10">
        <v>-481</v>
      </c>
      <c r="C94" s="10">
        <f t="shared" si="15"/>
        <v>16.942572239567312</v>
      </c>
      <c r="D94" s="10">
        <f t="shared" si="16"/>
        <v>-28.39002208157526</v>
      </c>
      <c r="E94" s="71">
        <f>B94/(1+$C$2)^(A94-$A$94)</f>
        <v>-481</v>
      </c>
      <c r="F94" s="38"/>
    </row>
    <row r="95" spans="1:16" x14ac:dyDescent="0.25">
      <c r="A95" s="6">
        <f>A94+B$85</f>
        <v>78</v>
      </c>
      <c r="B95" s="54">
        <f>-(2156.354+115.706*B$85-0.695*B$85^2)</f>
        <v>-4192.4740000000002</v>
      </c>
      <c r="C95" s="10">
        <f t="shared" si="15"/>
        <v>44.953688042487506</v>
      </c>
      <c r="D95" s="10">
        <f t="shared" si="16"/>
        <v>-93.262069978274695</v>
      </c>
      <c r="E95" s="71">
        <f t="shared" ref="E95:E96" si="17">B95/(1+$C$2)^(A95-$A$94)</f>
        <v>-1580.0993578185003</v>
      </c>
      <c r="F95" s="38"/>
    </row>
    <row r="96" spans="1:16" x14ac:dyDescent="0.25">
      <c r="A96" s="6">
        <f>A95</f>
        <v>78</v>
      </c>
      <c r="B96" s="54">
        <f>$C$1*B$86</f>
        <v>7506.5177753279995</v>
      </c>
      <c r="C96" s="10">
        <f t="shared" si="15"/>
        <v>44.953688042487506</v>
      </c>
      <c r="D96" s="10">
        <f t="shared" si="16"/>
        <v>166.98335781111646</v>
      </c>
      <c r="E96" s="71">
        <f t="shared" si="17"/>
        <v>2829.1276025203565</v>
      </c>
      <c r="F96" s="38"/>
    </row>
    <row r="97" spans="1:16" x14ac:dyDescent="0.25">
      <c r="A97" s="46"/>
      <c r="B97" s="47"/>
      <c r="C97" s="47"/>
      <c r="D97" s="47"/>
      <c r="E97" s="46"/>
      <c r="F97" s="48"/>
      <c r="G97" s="46"/>
    </row>
    <row r="98" spans="1:16" x14ac:dyDescent="0.25">
      <c r="A98" s="46"/>
      <c r="B98" s="55"/>
      <c r="C98" s="47"/>
      <c r="D98" s="47"/>
      <c r="E98" s="46"/>
      <c r="F98" s="48"/>
      <c r="G98" s="46"/>
    </row>
    <row r="99" spans="1:16" x14ac:dyDescent="0.25">
      <c r="A99" s="46"/>
      <c r="B99" s="55"/>
      <c r="C99" s="47"/>
      <c r="D99" s="47"/>
      <c r="E99" s="46"/>
      <c r="F99" s="48"/>
      <c r="G99" s="46"/>
    </row>
    <row r="100" spans="1:16" x14ac:dyDescent="0.25">
      <c r="A100" s="49"/>
      <c r="B100" s="56"/>
      <c r="C100" s="50"/>
      <c r="D100" s="50"/>
      <c r="F100" s="51"/>
    </row>
    <row r="101" spans="1:16" x14ac:dyDescent="0.25">
      <c r="A101" s="9"/>
      <c r="B101" s="53">
        <f>B85+1</f>
        <v>21</v>
      </c>
      <c r="C101" s="10">
        <f t="shared" si="15"/>
        <v>1</v>
      </c>
      <c r="D101" s="52">
        <f>SUM(D87:D89)</f>
        <v>879.02824470185624</v>
      </c>
      <c r="E101" s="9" t="s">
        <v>116</v>
      </c>
      <c r="J101" s="44" t="s">
        <v>117</v>
      </c>
      <c r="L101" s="40">
        <f>SUM(D87:D93)</f>
        <v>1568.9156582304536</v>
      </c>
      <c r="O101" s="71">
        <f>1-(1/(1+$C$2)^(B85))</f>
        <v>0.62311051712699939</v>
      </c>
    </row>
    <row r="102" spans="1:16" x14ac:dyDescent="0.25">
      <c r="B102" s="54">
        <f>0.85095*(((100-8.48)/100)*((-0.053*(B101^2))+(5.58*B101)-26.142))</f>
        <v>52.696787457600003</v>
      </c>
      <c r="C102" s="10">
        <f t="shared" si="15"/>
        <v>1</v>
      </c>
      <c r="D102" s="53">
        <f>L101+L103</f>
        <v>1641.6656191206616</v>
      </c>
      <c r="E102" s="9" t="s">
        <v>118</v>
      </c>
      <c r="J102" s="44" t="s">
        <v>119</v>
      </c>
      <c r="L102" s="40"/>
      <c r="O102" s="71">
        <f>SUM(E94:E96)/O101</f>
        <v>1232.571467808046</v>
      </c>
      <c r="P102" s="71" t="s">
        <v>136</v>
      </c>
    </row>
    <row r="103" spans="1:16" x14ac:dyDescent="0.25">
      <c r="A103" s="6">
        <v>0</v>
      </c>
      <c r="B103" s="54">
        <v>-370</v>
      </c>
      <c r="C103" s="10">
        <f t="shared" si="15"/>
        <v>1</v>
      </c>
      <c r="D103" s="10">
        <f>B103/C103</f>
        <v>-370</v>
      </c>
      <c r="F103" s="38"/>
      <c r="J103" s="44" t="s">
        <v>120</v>
      </c>
      <c r="L103" s="58">
        <f>O103</f>
        <v>72.749960890208015</v>
      </c>
      <c r="O103" s="72">
        <f>O102/(1+$C$2)^(A94)</f>
        <v>72.749960890208015</v>
      </c>
      <c r="P103" s="71" t="s">
        <v>137</v>
      </c>
    </row>
    <row r="104" spans="1:16" x14ac:dyDescent="0.25">
      <c r="A104" s="6">
        <f>B101</f>
        <v>21</v>
      </c>
      <c r="B104" s="54">
        <f>-(2156.354+115.706*B$101-0.695*B$101^2)</f>
        <v>-4279.6850000000004</v>
      </c>
      <c r="C104" s="10">
        <f t="shared" si="15"/>
        <v>2.7859625904016418</v>
      </c>
      <c r="D104" s="10">
        <f>B104/C104</f>
        <v>-1536.160253818417</v>
      </c>
      <c r="F104" s="38"/>
    </row>
    <row r="105" spans="1:16" x14ac:dyDescent="0.25">
      <c r="A105" s="6">
        <f>A104</f>
        <v>21</v>
      </c>
      <c r="B105" s="54">
        <f>$C$1*B$102</f>
        <v>7904.5181186400005</v>
      </c>
      <c r="C105" s="10">
        <f t="shared" si="15"/>
        <v>2.7859625904016418</v>
      </c>
      <c r="D105" s="10">
        <f>B105/C105</f>
        <v>2837.2664248518986</v>
      </c>
      <c r="F105" s="38"/>
    </row>
    <row r="106" spans="1:16" x14ac:dyDescent="0.25">
      <c r="A106" s="6">
        <f>2*A104-1</f>
        <v>41</v>
      </c>
      <c r="B106" s="54">
        <f>-(2156.354+115.706*B$101-0.695*B$101^2)</f>
        <v>-4279.6850000000004</v>
      </c>
      <c r="C106" s="10">
        <f t="shared" si="15"/>
        <v>7.3919881477308822</v>
      </c>
      <c r="D106" s="10">
        <f t="shared" ref="D106:D112" si="18">B106/C106</f>
        <v>-578.96264367168055</v>
      </c>
      <c r="F106" s="38"/>
    </row>
    <row r="107" spans="1:16" x14ac:dyDescent="0.25">
      <c r="A107" s="6">
        <f>2*A104-1</f>
        <v>41</v>
      </c>
      <c r="B107" s="54">
        <f>$C$1*B$102</f>
        <v>7904.5181186400005</v>
      </c>
      <c r="C107" s="10">
        <f t="shared" si="15"/>
        <v>7.3919881477308822</v>
      </c>
      <c r="D107" s="10">
        <f t="shared" si="18"/>
        <v>1069.3358756353593</v>
      </c>
      <c r="F107" s="38"/>
    </row>
    <row r="108" spans="1:16" x14ac:dyDescent="0.25">
      <c r="A108" s="6">
        <f>A106+A104-1</f>
        <v>61</v>
      </c>
      <c r="B108" s="54">
        <f>-(2156.354+115.706*B$101-0.695*B$101^2)</f>
        <v>-4279.6850000000004</v>
      </c>
      <c r="C108" s="10">
        <f t="shared" si="15"/>
        <v>19.613145188829112</v>
      </c>
      <c r="D108" s="10">
        <f t="shared" si="18"/>
        <v>-218.20493137620494</v>
      </c>
      <c r="F108" s="38"/>
    </row>
    <row r="109" spans="1:16" x14ac:dyDescent="0.25">
      <c r="A109" s="41">
        <f>A107+A104-1</f>
        <v>61</v>
      </c>
      <c r="B109" s="57">
        <f>$C$1*B$102</f>
        <v>7904.5181186400005</v>
      </c>
      <c r="C109" s="42">
        <f t="shared" si="15"/>
        <v>19.613145188829112</v>
      </c>
      <c r="D109" s="42">
        <f t="shared" si="18"/>
        <v>403.02144518575778</v>
      </c>
      <c r="E109" s="41"/>
      <c r="F109" s="43"/>
    </row>
    <row r="110" spans="1:16" x14ac:dyDescent="0.25">
      <c r="A110" s="6">
        <f>A109</f>
        <v>61</v>
      </c>
      <c r="B110" s="10">
        <v>-481</v>
      </c>
      <c r="C110" s="10">
        <f t="shared" si="15"/>
        <v>19.613145188829112</v>
      </c>
      <c r="D110" s="10">
        <f t="shared" si="18"/>
        <v>-24.524368497203547</v>
      </c>
      <c r="E110" s="71">
        <f>B110/(1+$C$2)^(A110-$A$61)</f>
        <v>-310.05688870076051</v>
      </c>
      <c r="F110" s="38"/>
    </row>
    <row r="111" spans="1:16" x14ac:dyDescent="0.25">
      <c r="A111" s="6">
        <f>A110+B$101</f>
        <v>82</v>
      </c>
      <c r="B111" s="54">
        <f>-(2156.354+115.706*B$101-0.695*B$101^2)</f>
        <v>-4279.6850000000004</v>
      </c>
      <c r="C111" s="10">
        <f t="shared" si="15"/>
        <v>54.641488776193853</v>
      </c>
      <c r="D111" s="10">
        <f t="shared" si="18"/>
        <v>-78.322994044491864</v>
      </c>
      <c r="E111" s="71">
        <f t="shared" ref="E111:E112" si="19">B111/(1+$C$2)^(A111-$A$61)</f>
        <v>-990.22259635074636</v>
      </c>
      <c r="F111" s="38"/>
    </row>
    <row r="112" spans="1:16" x14ac:dyDescent="0.25">
      <c r="A112" s="6">
        <f>A111</f>
        <v>82</v>
      </c>
      <c r="B112" s="54">
        <f>$C$1*B$102</f>
        <v>7904.5181186400005</v>
      </c>
      <c r="C112" s="10">
        <f t="shared" si="15"/>
        <v>54.641488776193853</v>
      </c>
      <c r="D112" s="10">
        <f t="shared" si="18"/>
        <v>144.66147053599011</v>
      </c>
      <c r="E112" s="71">
        <f t="shared" si="19"/>
        <v>1828.9272351449272</v>
      </c>
      <c r="F112" s="38"/>
    </row>
    <row r="113" spans="1:16" x14ac:dyDescent="0.25">
      <c r="A113" s="46"/>
      <c r="B113" s="47"/>
      <c r="C113" s="47"/>
      <c r="D113" s="47"/>
      <c r="E113" s="46"/>
      <c r="F113" s="48"/>
    </row>
    <row r="114" spans="1:16" x14ac:dyDescent="0.25">
      <c r="A114" s="46"/>
      <c r="B114" s="55"/>
      <c r="C114" s="47"/>
      <c r="D114" s="47"/>
      <c r="E114" s="46"/>
      <c r="F114" s="48"/>
    </row>
    <row r="115" spans="1:16" x14ac:dyDescent="0.25">
      <c r="A115" s="46"/>
      <c r="B115" s="55"/>
      <c r="C115" s="47"/>
      <c r="D115" s="47"/>
      <c r="E115" s="46"/>
      <c r="F115" s="48"/>
    </row>
    <row r="116" spans="1:16" x14ac:dyDescent="0.25">
      <c r="A116" s="49"/>
      <c r="B116" s="56"/>
      <c r="C116" s="50"/>
      <c r="D116" s="50"/>
      <c r="E116" s="49"/>
      <c r="F116" s="51"/>
    </row>
    <row r="117" spans="1:16" x14ac:dyDescent="0.25">
      <c r="B117" s="53">
        <f>B101+1</f>
        <v>22</v>
      </c>
      <c r="C117" s="10">
        <f t="shared" si="15"/>
        <v>1</v>
      </c>
      <c r="D117" s="52">
        <f>SUM(D103:D105)</f>
        <v>931.10617103348159</v>
      </c>
      <c r="E117" s="9" t="s">
        <v>116</v>
      </c>
      <c r="J117" s="44" t="s">
        <v>117</v>
      </c>
      <c r="L117" s="40">
        <f>SUM(D103:D109)</f>
        <v>1606.2959168067132</v>
      </c>
      <c r="O117" s="71">
        <f>1-(1/(1+$C$2)^(B101))</f>
        <v>0.64105763535904703</v>
      </c>
    </row>
    <row r="118" spans="1:16" x14ac:dyDescent="0.25">
      <c r="B118" s="54">
        <f>0.85095*(((100-8.48)/100)*((-0.053*(B117^2))+(5.58*B117)-26.142))</f>
        <v>55.267571399040008</v>
      </c>
      <c r="C118" s="10">
        <f t="shared" si="15"/>
        <v>1</v>
      </c>
      <c r="D118" s="53">
        <f>L117+L119</f>
        <v>1648.3416633201603</v>
      </c>
      <c r="E118" s="9" t="s">
        <v>118</v>
      </c>
      <c r="J118" s="44" t="s">
        <v>119</v>
      </c>
      <c r="L118" s="40"/>
      <c r="O118" s="71">
        <f>SUM(E110:E112)/O117</f>
        <v>824.64933094094158</v>
      </c>
      <c r="P118" s="71" t="s">
        <v>136</v>
      </c>
    </row>
    <row r="119" spans="1:16" x14ac:dyDescent="0.25">
      <c r="A119" s="6">
        <v>0</v>
      </c>
      <c r="B119" s="54">
        <v>-370</v>
      </c>
      <c r="C119" s="10">
        <f t="shared" si="15"/>
        <v>1</v>
      </c>
      <c r="D119" s="10">
        <f>B119/C119</f>
        <v>-370</v>
      </c>
      <c r="F119" s="38"/>
      <c r="J119" s="44" t="s">
        <v>120</v>
      </c>
      <c r="L119" s="58">
        <f>O119</f>
        <v>42.045746513447007</v>
      </c>
      <c r="O119" s="72">
        <f>O118/(1+$C$2)^(A110)</f>
        <v>42.045746513447007</v>
      </c>
      <c r="P119" s="71" t="s">
        <v>137</v>
      </c>
    </row>
    <row r="120" spans="1:16" x14ac:dyDescent="0.25">
      <c r="A120" s="6">
        <f>B117</f>
        <v>22</v>
      </c>
      <c r="B120" s="54">
        <f>-(2156.354+115.706*B$117-0.695*B$117^2)</f>
        <v>-4365.5060000000003</v>
      </c>
      <c r="C120" s="10">
        <f t="shared" si="15"/>
        <v>2.9252607199217238</v>
      </c>
      <c r="D120" s="10">
        <f>B120/C120</f>
        <v>-1492.3476633278744</v>
      </c>
      <c r="F120" s="38"/>
    </row>
    <row r="121" spans="1:16" x14ac:dyDescent="0.25">
      <c r="A121" s="6">
        <f>A120</f>
        <v>22</v>
      </c>
      <c r="B121" s="54">
        <f>$C$1*B$118</f>
        <v>8290.135709856002</v>
      </c>
      <c r="C121" s="10">
        <f t="shared" si="15"/>
        <v>2.9252607199217238</v>
      </c>
      <c r="D121" s="10">
        <f>B121/C121</f>
        <v>2833.9818237048748</v>
      </c>
      <c r="F121" s="38"/>
    </row>
    <row r="122" spans="1:16" x14ac:dyDescent="0.25">
      <c r="A122" s="6">
        <f>2*A120-1</f>
        <v>43</v>
      </c>
      <c r="B122" s="54">
        <f>-(2156.354+115.706*B$117-0.695*B$117^2)</f>
        <v>-4365.5060000000003</v>
      </c>
      <c r="C122" s="10">
        <f t="shared" si="15"/>
        <v>8.1496669328732985</v>
      </c>
      <c r="D122" s="10">
        <f t="shared" ref="D122:D128" si="20">B122/C122</f>
        <v>-535.66679914130793</v>
      </c>
      <c r="F122" s="38"/>
    </row>
    <row r="123" spans="1:16" x14ac:dyDescent="0.25">
      <c r="A123" s="6">
        <f>2*A120-1</f>
        <v>43</v>
      </c>
      <c r="B123" s="54">
        <f>$C$1*B$118</f>
        <v>8290.135709856002</v>
      </c>
      <c r="C123" s="10">
        <f t="shared" si="15"/>
        <v>8.1496669328732985</v>
      </c>
      <c r="D123" s="10">
        <f t="shared" si="20"/>
        <v>1017.2361371501079</v>
      </c>
      <c r="F123" s="38"/>
    </row>
    <row r="124" spans="1:16" x14ac:dyDescent="0.25">
      <c r="A124" s="6">
        <f>A122+A120-1</f>
        <v>64</v>
      </c>
      <c r="B124" s="54">
        <f>-(2156.354+115.706*B$117-0.695*B$117^2)</f>
        <v>-4365.5060000000003</v>
      </c>
      <c r="C124" s="10">
        <f t="shared" si="15"/>
        <v>22.704667199218299</v>
      </c>
      <c r="D124" s="10">
        <f t="shared" si="20"/>
        <v>-192.27350754343146</v>
      </c>
      <c r="F124" s="38"/>
    </row>
    <row r="125" spans="1:16" x14ac:dyDescent="0.25">
      <c r="A125" s="41">
        <f>A123+A120-1</f>
        <v>64</v>
      </c>
      <c r="B125" s="57">
        <f>$C$1*B$118</f>
        <v>8290.135709856002</v>
      </c>
      <c r="C125" s="42">
        <f t="shared" si="15"/>
        <v>22.704667199218299</v>
      </c>
      <c r="D125" s="42">
        <f t="shared" si="20"/>
        <v>365.12914446688848</v>
      </c>
      <c r="E125" s="41"/>
      <c r="F125" s="43"/>
    </row>
    <row r="126" spans="1:16" x14ac:dyDescent="0.25">
      <c r="A126" s="6">
        <f>A125</f>
        <v>64</v>
      </c>
      <c r="B126" s="10">
        <v>-481</v>
      </c>
      <c r="C126" s="10">
        <f t="shared" si="15"/>
        <v>22.704667199218299</v>
      </c>
      <c r="D126" s="10">
        <f t="shared" si="20"/>
        <v>-21.1850715881253</v>
      </c>
      <c r="E126" s="71">
        <f>B126/(1+$C$2)^(A126-$A$126)</f>
        <v>-481</v>
      </c>
      <c r="F126" s="38"/>
    </row>
    <row r="127" spans="1:16" x14ac:dyDescent="0.25">
      <c r="A127" s="6">
        <f>A126+B$117</f>
        <v>86</v>
      </c>
      <c r="B127" s="54">
        <f>-(2156.354+115.706*B$117-0.695*B$117^2)</f>
        <v>-4365.5060000000003</v>
      </c>
      <c r="C127" s="10">
        <f t="shared" si="15"/>
        <v>66.417071116768469</v>
      </c>
      <c r="D127" s="10">
        <f t="shared" si="20"/>
        <v>-65.728673767094662</v>
      </c>
      <c r="E127" s="71">
        <f t="shared" ref="E127:E128" si="21">B127/(1+$C$2)^(A127-$A$126)</f>
        <v>-1492.3476633278744</v>
      </c>
      <c r="F127" s="38"/>
    </row>
    <row r="128" spans="1:16" x14ac:dyDescent="0.25">
      <c r="A128" s="6">
        <f>A127</f>
        <v>86</v>
      </c>
      <c r="B128" s="54">
        <f>$C$1*B$118</f>
        <v>8290.135709856002</v>
      </c>
      <c r="C128" s="10">
        <f t="shared" si="15"/>
        <v>66.417071116768469</v>
      </c>
      <c r="D128" s="10">
        <f t="shared" si="20"/>
        <v>124.81935096597435</v>
      </c>
      <c r="E128" s="71">
        <f t="shared" si="21"/>
        <v>2833.9818237048748</v>
      </c>
      <c r="F128" s="38"/>
    </row>
    <row r="129" spans="1:16" x14ac:dyDescent="0.25">
      <c r="A129" s="46"/>
      <c r="B129" s="47"/>
      <c r="C129" s="47"/>
      <c r="D129" s="47"/>
      <c r="E129" s="46"/>
      <c r="F129" s="48"/>
    </row>
    <row r="130" spans="1:16" x14ac:dyDescent="0.25">
      <c r="A130" s="46"/>
      <c r="B130" s="55"/>
      <c r="C130" s="47"/>
      <c r="D130" s="47"/>
      <c r="E130" s="46"/>
      <c r="F130" s="48"/>
    </row>
    <row r="131" spans="1:16" x14ac:dyDescent="0.25">
      <c r="A131" s="46"/>
      <c r="B131" s="55"/>
      <c r="C131" s="47"/>
      <c r="D131" s="47"/>
      <c r="E131" s="46"/>
      <c r="F131" s="48"/>
    </row>
    <row r="132" spans="1:16" x14ac:dyDescent="0.25">
      <c r="A132" s="49"/>
      <c r="B132" s="56"/>
      <c r="C132" s="50"/>
      <c r="D132" s="50"/>
      <c r="E132" s="49"/>
      <c r="F132" s="51"/>
    </row>
    <row r="133" spans="1:16" x14ac:dyDescent="0.25">
      <c r="A133" s="9"/>
      <c r="B133" s="53">
        <f>B117+1</f>
        <v>23</v>
      </c>
      <c r="C133" s="10">
        <f t="shared" si="15"/>
        <v>1</v>
      </c>
      <c r="D133" s="52">
        <f>SUM(D119:D121)</f>
        <v>971.6341603770004</v>
      </c>
      <c r="E133" s="9" t="s">
        <v>116</v>
      </c>
      <c r="J133" s="44" t="s">
        <v>117</v>
      </c>
      <c r="L133" s="40">
        <f>SUM(D119:D125)</f>
        <v>1626.0591353092573</v>
      </c>
      <c r="O133" s="71">
        <f>1-(1/(1+$C$2)^(B117))</f>
        <v>0.6581501289133781</v>
      </c>
    </row>
    <row r="134" spans="1:16" x14ac:dyDescent="0.25">
      <c r="B134" s="54">
        <f>0.85095*(((100-8.48)/100)*((-0.053*(B133^2))+(5.58*B133)-26.142))</f>
        <v>57.755803659839998</v>
      </c>
      <c r="C134" s="10">
        <f t="shared" si="15"/>
        <v>1</v>
      </c>
      <c r="D134" s="53">
        <f>L133+L135</f>
        <v>1683.6532980169932</v>
      </c>
      <c r="E134" s="9" t="s">
        <v>118</v>
      </c>
      <c r="J134" s="44" t="s">
        <v>119</v>
      </c>
      <c r="L134" s="40"/>
      <c r="O134" s="71">
        <f>SUM(E126:E128)/O133</f>
        <v>1307.656296896771</v>
      </c>
      <c r="P134" s="71" t="s">
        <v>136</v>
      </c>
    </row>
    <row r="135" spans="1:16" x14ac:dyDescent="0.25">
      <c r="A135" s="6">
        <v>0</v>
      </c>
      <c r="B135" s="54">
        <v>-370</v>
      </c>
      <c r="C135" s="10">
        <f t="shared" si="15"/>
        <v>1</v>
      </c>
      <c r="D135" s="10">
        <f>B135/C135</f>
        <v>-370</v>
      </c>
      <c r="F135" s="38"/>
      <c r="J135" s="44" t="s">
        <v>120</v>
      </c>
      <c r="L135" s="58">
        <f>O135</f>
        <v>57.594162707735805</v>
      </c>
      <c r="O135" s="72">
        <f>O134/(1+$C$2)^(A126)</f>
        <v>57.594162707735805</v>
      </c>
      <c r="P135" s="71" t="s">
        <v>137</v>
      </c>
    </row>
    <row r="136" spans="1:16" x14ac:dyDescent="0.25">
      <c r="A136" s="6">
        <f>B133</f>
        <v>23</v>
      </c>
      <c r="B136" s="54">
        <f>-(2156.354+115.706*B$133-0.695*B$133^2)</f>
        <v>-4449.9370000000008</v>
      </c>
      <c r="C136" s="10">
        <f t="shared" si="15"/>
        <v>3.0715237559178106</v>
      </c>
      <c r="D136" s="10">
        <f>B136/C136</f>
        <v>-1448.7717998034179</v>
      </c>
      <c r="F136" s="38"/>
    </row>
    <row r="137" spans="1:16" x14ac:dyDescent="0.25">
      <c r="A137" s="6">
        <f>A136</f>
        <v>23</v>
      </c>
      <c r="B137" s="54">
        <f>$C$1*B$134</f>
        <v>8663.3705489759996</v>
      </c>
      <c r="C137" s="10">
        <f t="shared" si="15"/>
        <v>3.0715237559178106</v>
      </c>
      <c r="D137" s="10">
        <f>B137/C137</f>
        <v>2820.5448622315062</v>
      </c>
      <c r="F137" s="38"/>
    </row>
    <row r="138" spans="1:16" x14ac:dyDescent="0.25">
      <c r="A138" s="6">
        <f>2*A136-1</f>
        <v>45</v>
      </c>
      <c r="B138" s="54">
        <f>-(2156.354+115.706*B$133-0.695*B$133^2)</f>
        <v>-4449.9370000000008</v>
      </c>
      <c r="C138" s="10">
        <f t="shared" si="15"/>
        <v>8.9850077934928123</v>
      </c>
      <c r="D138" s="10">
        <f t="shared" ref="D138:D144" si="22">B138/C138</f>
        <v>-495.26245299673155</v>
      </c>
      <c r="F138" s="38"/>
    </row>
    <row r="139" spans="1:16" x14ac:dyDescent="0.25">
      <c r="A139" s="6">
        <f>2*A136-1</f>
        <v>45</v>
      </c>
      <c r="B139" s="54">
        <f>$C$1*B$134</f>
        <v>8663.3705489759996</v>
      </c>
      <c r="C139" s="10">
        <f t="shared" si="15"/>
        <v>8.9850077934928123</v>
      </c>
      <c r="D139" s="10">
        <f t="shared" si="22"/>
        <v>964.20289754787404</v>
      </c>
      <c r="F139" s="38"/>
    </row>
    <row r="140" spans="1:16" x14ac:dyDescent="0.25">
      <c r="A140" s="6">
        <f>A138+A136-1</f>
        <v>67</v>
      </c>
      <c r="B140" s="54">
        <f>-(2156.354+115.706*B$133-0.695*B$133^2)</f>
        <v>-4449.9370000000008</v>
      </c>
      <c r="C140" s="10">
        <f t="shared" si="15"/>
        <v>26.283490366495087</v>
      </c>
      <c r="D140" s="10">
        <f t="shared" si="22"/>
        <v>-169.3054057109768</v>
      </c>
      <c r="F140" s="38"/>
    </row>
    <row r="141" spans="1:16" x14ac:dyDescent="0.25">
      <c r="A141" s="41">
        <f>A139+A136-1</f>
        <v>67</v>
      </c>
      <c r="B141" s="57">
        <f>$C$1*B$134</f>
        <v>8663.3705489759996</v>
      </c>
      <c r="C141" s="42">
        <f t="shared" si="15"/>
        <v>26.283490366495087</v>
      </c>
      <c r="D141" s="42">
        <f t="shared" si="22"/>
        <v>329.61263622808798</v>
      </c>
      <c r="E141" s="41"/>
      <c r="F141" s="43"/>
    </row>
    <row r="142" spans="1:16" x14ac:dyDescent="0.25">
      <c r="A142" s="6">
        <f>A141</f>
        <v>67</v>
      </c>
      <c r="B142" s="10">
        <v>-481</v>
      </c>
      <c r="C142" s="10">
        <f t="shared" si="15"/>
        <v>26.283490366495087</v>
      </c>
      <c r="D142" s="10">
        <f t="shared" si="22"/>
        <v>-18.30046136540356</v>
      </c>
      <c r="E142" s="71">
        <f>B142/(1+$C$2)^(A142-$A$142)</f>
        <v>-481</v>
      </c>
      <c r="F142" s="38"/>
    </row>
    <row r="143" spans="1:16" x14ac:dyDescent="0.25">
      <c r="A143" s="6">
        <f>A142+B$133</f>
        <v>90</v>
      </c>
      <c r="B143" s="54">
        <f>-(2156.354+115.706*B$133-0.695*B$133^2)</f>
        <v>-4449.9370000000008</v>
      </c>
      <c r="C143" s="10">
        <f t="shared" si="15"/>
        <v>80.730365049126561</v>
      </c>
      <c r="D143" s="10">
        <f t="shared" si="22"/>
        <v>-55.120982015776796</v>
      </c>
      <c r="E143" s="71">
        <f t="shared" ref="E143:E144" si="23">B143/(1+$C$2)^(A143-$A$142)</f>
        <v>-1448.7717998034179</v>
      </c>
      <c r="F143" s="38"/>
    </row>
    <row r="144" spans="1:16" x14ac:dyDescent="0.25">
      <c r="A144" s="6">
        <f>A143</f>
        <v>90</v>
      </c>
      <c r="B144" s="54">
        <f>$C$1*B$134</f>
        <v>8663.3705489759996</v>
      </c>
      <c r="C144" s="10">
        <f t="shared" si="15"/>
        <v>80.730365049126561</v>
      </c>
      <c r="D144" s="10">
        <f t="shared" si="22"/>
        <v>107.31241638389854</v>
      </c>
      <c r="E144" s="71">
        <f t="shared" si="23"/>
        <v>2820.5448622315062</v>
      </c>
      <c r="F144" s="38"/>
    </row>
    <row r="145" spans="1:16" x14ac:dyDescent="0.25">
      <c r="A145" s="46"/>
      <c r="B145" s="47"/>
      <c r="C145" s="47"/>
      <c r="D145" s="47"/>
      <c r="E145" s="46"/>
      <c r="F145" s="48"/>
    </row>
    <row r="146" spans="1:16" x14ac:dyDescent="0.25">
      <c r="A146" s="46"/>
      <c r="B146" s="55"/>
      <c r="C146" s="47"/>
      <c r="D146" s="47"/>
      <c r="E146" s="46"/>
      <c r="F146" s="48"/>
    </row>
    <row r="147" spans="1:16" x14ac:dyDescent="0.25">
      <c r="A147" s="46"/>
      <c r="B147" s="55"/>
      <c r="C147" s="47"/>
      <c r="D147" s="47"/>
      <c r="E147" s="46"/>
      <c r="F147" s="48"/>
    </row>
    <row r="148" spans="1:16" x14ac:dyDescent="0.25">
      <c r="A148" s="49"/>
      <c r="B148" s="56"/>
      <c r="C148" s="50"/>
      <c r="D148" s="50"/>
      <c r="E148" s="49"/>
      <c r="F148" s="51"/>
    </row>
    <row r="149" spans="1:16" x14ac:dyDescent="0.25">
      <c r="A149" s="9"/>
      <c r="B149" s="53">
        <f>B133+1</f>
        <v>24</v>
      </c>
      <c r="C149" s="10">
        <f t="shared" si="15"/>
        <v>1</v>
      </c>
      <c r="D149" s="52">
        <f>SUM(D135:D137)</f>
        <v>1001.7730624280882</v>
      </c>
      <c r="E149" s="9" t="s">
        <v>116</v>
      </c>
      <c r="J149" s="44" t="s">
        <v>117</v>
      </c>
      <c r="L149" s="40">
        <f>SUM(D135:D141)</f>
        <v>1631.0207374963418</v>
      </c>
      <c r="O149" s="71">
        <f>1-(1/(1+$C$2)^(B133))</f>
        <v>0.67442869420321738</v>
      </c>
    </row>
    <row r="150" spans="1:16" x14ac:dyDescent="0.25">
      <c r="B150" s="54">
        <f>0.85095*(((100-8.48)/100)*((-0.053*(B149^2))+(5.58*B149)-26.142))</f>
        <v>60.161484240000028</v>
      </c>
      <c r="C150" s="10">
        <f t="shared" si="15"/>
        <v>1</v>
      </c>
      <c r="D150" s="53">
        <f>L149+L151</f>
        <v>1681.2721181004213</v>
      </c>
      <c r="E150" s="9" t="s">
        <v>118</v>
      </c>
      <c r="J150" s="44" t="s">
        <v>119</v>
      </c>
      <c r="L150" s="40"/>
      <c r="O150" s="71">
        <f>SUM(E142:E144)/O149</f>
        <v>1320.7816780103997</v>
      </c>
      <c r="P150" s="71" t="s">
        <v>136</v>
      </c>
    </row>
    <row r="151" spans="1:16" x14ac:dyDescent="0.25">
      <c r="A151" s="6">
        <v>0</v>
      </c>
      <c r="B151" s="54">
        <v>-370</v>
      </c>
      <c r="C151" s="10">
        <f t="shared" ref="C151:C214" si="24">(1+$C$2)^A151</f>
        <v>1</v>
      </c>
      <c r="D151" s="10">
        <f>B151/C151</f>
        <v>-370</v>
      </c>
      <c r="F151" s="38"/>
      <c r="J151" s="44" t="s">
        <v>120</v>
      </c>
      <c r="L151" s="58">
        <f>O151</f>
        <v>50.251380604079429</v>
      </c>
      <c r="O151" s="72">
        <f>O150/(1+$C$2)^(A142)</f>
        <v>50.251380604079429</v>
      </c>
      <c r="P151" s="71" t="s">
        <v>137</v>
      </c>
    </row>
    <row r="152" spans="1:16" x14ac:dyDescent="0.25">
      <c r="A152" s="6">
        <f>B149</f>
        <v>24</v>
      </c>
      <c r="B152" s="54">
        <f>-(2156.354+115.706*B$149-0.695*B$149^2)</f>
        <v>-4532.9780000000001</v>
      </c>
      <c r="C152" s="10">
        <f t="shared" si="24"/>
        <v>3.2250999437137007</v>
      </c>
      <c r="D152" s="10">
        <f>B152/C152</f>
        <v>-1405.5310158172272</v>
      </c>
      <c r="F152" s="38"/>
    </row>
    <row r="153" spans="1:16" x14ac:dyDescent="0.25">
      <c r="A153" s="6">
        <f>A152</f>
        <v>24</v>
      </c>
      <c r="B153" s="54">
        <f>$C$1*B$150</f>
        <v>9024.2226360000041</v>
      </c>
      <c r="C153" s="10">
        <f t="shared" si="24"/>
        <v>3.2250999437137007</v>
      </c>
      <c r="D153" s="10">
        <f>B153/C153</f>
        <v>2798.1218546699106</v>
      </c>
      <c r="F153" s="38"/>
    </row>
    <row r="154" spans="1:16" x14ac:dyDescent="0.25">
      <c r="A154" s="6">
        <f>2*A152-1</f>
        <v>47</v>
      </c>
      <c r="B154" s="54">
        <f>-(2156.354+115.706*B$149-0.695*B$149^2)</f>
        <v>-4532.9780000000001</v>
      </c>
      <c r="C154" s="10">
        <f t="shared" si="24"/>
        <v>9.9059710923258262</v>
      </c>
      <c r="D154" s="10">
        <f t="shared" ref="D154:D161" si="25">B154/C154</f>
        <v>-457.60056815749306</v>
      </c>
      <c r="F154" s="38"/>
    </row>
    <row r="155" spans="1:16" x14ac:dyDescent="0.25">
      <c r="A155" s="6">
        <f>2*A152-1</f>
        <v>47</v>
      </c>
      <c r="B155" s="54">
        <f>$C$1*B$150</f>
        <v>9024.2226360000041</v>
      </c>
      <c r="C155" s="10">
        <f t="shared" si="24"/>
        <v>9.9059710923258262</v>
      </c>
      <c r="D155" s="10">
        <f t="shared" si="25"/>
        <v>910.98818600339803</v>
      </c>
      <c r="F155" s="38"/>
    </row>
    <row r="156" spans="1:16" x14ac:dyDescent="0.25">
      <c r="A156" s="6">
        <f>A154+A152-1</f>
        <v>70</v>
      </c>
      <c r="B156" s="54">
        <f>-(2156.354+115.706*B$149-0.695*B$149^2)</f>
        <v>-4532.9780000000001</v>
      </c>
      <c r="C156" s="10">
        <f t="shared" si="24"/>
        <v>30.426425535513872</v>
      </c>
      <c r="D156" s="10">
        <f t="shared" si="25"/>
        <v>-148.98161450838469</v>
      </c>
      <c r="F156" s="38"/>
    </row>
    <row r="157" spans="1:16" x14ac:dyDescent="0.25">
      <c r="A157" s="6">
        <f>A155+A152-1</f>
        <v>70</v>
      </c>
      <c r="B157" s="54">
        <f>$C$1*B$150</f>
        <v>9024.2226360000041</v>
      </c>
      <c r="C157" s="10">
        <f t="shared" si="24"/>
        <v>30.426425535513872</v>
      </c>
      <c r="D157" s="10">
        <f t="shared" si="25"/>
        <v>296.59161328256874</v>
      </c>
      <c r="F157" s="38"/>
    </row>
    <row r="158" spans="1:16" x14ac:dyDescent="0.25">
      <c r="A158" s="41">
        <f>A157</f>
        <v>70</v>
      </c>
      <c r="B158" s="42">
        <v>-481</v>
      </c>
      <c r="C158" s="42">
        <f t="shared" si="24"/>
        <v>30.426425535513872</v>
      </c>
      <c r="D158" s="42">
        <f t="shared" si="25"/>
        <v>-15.808626597908271</v>
      </c>
      <c r="E158" s="41"/>
      <c r="F158" s="43"/>
    </row>
    <row r="159" spans="1:16" x14ac:dyDescent="0.25">
      <c r="A159" s="6">
        <v>70</v>
      </c>
      <c r="B159" s="6">
        <v>-481</v>
      </c>
      <c r="C159" s="10">
        <f t="shared" si="24"/>
        <v>30.426425535513872</v>
      </c>
      <c r="D159" s="10">
        <f t="shared" si="25"/>
        <v>-15.808626597908271</v>
      </c>
      <c r="E159" s="71">
        <f>B159/(1+$C$2)^(A159-$A$159)</f>
        <v>-481</v>
      </c>
      <c r="F159" s="38"/>
    </row>
    <row r="160" spans="1:16" x14ac:dyDescent="0.25">
      <c r="A160" s="6">
        <f>A158+B$149</f>
        <v>94</v>
      </c>
      <c r="B160" s="54">
        <f>-(2156.354+115.706*B$149-0.695*B$149^2)</f>
        <v>-4532.9780000000001</v>
      </c>
      <c r="C160" s="10">
        <f>(1+$C$2)^A160</f>
        <v>98.128263281994876</v>
      </c>
      <c r="D160" s="10">
        <f t="shared" si="25"/>
        <v>-46.194417881150216</v>
      </c>
      <c r="E160" s="71">
        <f t="shared" ref="E160:E161" si="26">B160/(1+$C$2)^(A160-$A$159)</f>
        <v>-1405.5310158172272</v>
      </c>
      <c r="F160" s="38"/>
    </row>
    <row r="161" spans="1:16" x14ac:dyDescent="0.25">
      <c r="A161" s="6">
        <f>A160</f>
        <v>94</v>
      </c>
      <c r="B161" s="54">
        <f>$C$1*B$150</f>
        <v>9024.2226360000041</v>
      </c>
      <c r="C161" s="10">
        <f>(1+$C$2)^A161</f>
        <v>98.128263281994876</v>
      </c>
      <c r="D161" s="10">
        <f t="shared" si="25"/>
        <v>91.963541737886018</v>
      </c>
      <c r="E161" s="71">
        <f t="shared" si="26"/>
        <v>2798.1218546699106</v>
      </c>
      <c r="F161" s="48"/>
      <c r="G161" s="46"/>
    </row>
    <row r="162" spans="1:16" x14ac:dyDescent="0.25">
      <c r="A162" s="46"/>
      <c r="B162" s="55"/>
      <c r="C162" s="47"/>
      <c r="D162" s="47"/>
      <c r="E162" s="78"/>
      <c r="F162" s="48"/>
      <c r="G162" s="46"/>
    </row>
    <row r="163" spans="1:16" x14ac:dyDescent="0.25">
      <c r="A163" s="46"/>
      <c r="B163" s="55"/>
      <c r="C163" s="47"/>
      <c r="D163" s="47"/>
      <c r="E163" s="46"/>
      <c r="F163" s="48"/>
      <c r="G163" s="46"/>
    </row>
    <row r="164" spans="1:16" x14ac:dyDescent="0.25">
      <c r="A164" s="49"/>
      <c r="B164" s="56"/>
      <c r="C164" s="50"/>
      <c r="D164" s="50"/>
      <c r="F164" s="51"/>
    </row>
    <row r="165" spans="1:16" x14ac:dyDescent="0.25">
      <c r="A165" s="9"/>
      <c r="B165" s="53">
        <f>B149+1</f>
        <v>25</v>
      </c>
      <c r="C165" s="10">
        <f t="shared" si="24"/>
        <v>1</v>
      </c>
      <c r="D165" s="52">
        <f>SUM(D151:D153)</f>
        <v>1022.5908388526834</v>
      </c>
      <c r="E165" s="9" t="s">
        <v>116</v>
      </c>
      <c r="J165" s="44" t="s">
        <v>117</v>
      </c>
      <c r="L165" s="40">
        <f>SUM(D151:D157)</f>
        <v>1623.5884554727725</v>
      </c>
      <c r="O165" s="71">
        <f>1-(1/(1+$C$2)^(B149))</f>
        <v>0.68993208971734976</v>
      </c>
    </row>
    <row r="166" spans="1:16" x14ac:dyDescent="0.25">
      <c r="B166" s="54">
        <f>0.85095*(((100-8.48)/100)*((-0.053*(B165^2))+(5.58*B165)-26.142))</f>
        <v>62.484613139520008</v>
      </c>
      <c r="C166" s="10">
        <f t="shared" si="24"/>
        <v>1</v>
      </c>
      <c r="D166" s="53">
        <f>L165+L167</f>
        <v>1667.0137399396854</v>
      </c>
      <c r="E166" s="9" t="s">
        <v>118</v>
      </c>
      <c r="J166" s="44" t="s">
        <v>119</v>
      </c>
      <c r="L166" s="40"/>
      <c r="O166" s="71">
        <f>SUM(E159:E161)/O165</f>
        <v>1321.2761841910303</v>
      </c>
      <c r="P166" s="71" t="s">
        <v>136</v>
      </c>
    </row>
    <row r="167" spans="1:16" x14ac:dyDescent="0.25">
      <c r="A167" s="6">
        <v>0</v>
      </c>
      <c r="B167" s="54">
        <v>-370</v>
      </c>
      <c r="C167" s="10">
        <f t="shared" si="24"/>
        <v>1</v>
      </c>
      <c r="D167" s="10">
        <f>B167/C167</f>
        <v>-370</v>
      </c>
      <c r="F167" s="38"/>
      <c r="J167" s="44" t="s">
        <v>120</v>
      </c>
      <c r="L167" s="58">
        <f>O167</f>
        <v>43.425284466912828</v>
      </c>
      <c r="O167" s="72">
        <f>O166/(1+$C$2)^(A158)</f>
        <v>43.425284466912828</v>
      </c>
      <c r="P167" s="71" t="s">
        <v>137</v>
      </c>
    </row>
    <row r="168" spans="1:16" x14ac:dyDescent="0.25">
      <c r="A168" s="6">
        <f>B165</f>
        <v>25</v>
      </c>
      <c r="B168" s="54">
        <f>-(2156.354+115.706*B$165-0.695*B$165^2)</f>
        <v>-4614.6289999999999</v>
      </c>
      <c r="C168" s="10">
        <f t="shared" si="24"/>
        <v>3.3863549408993858</v>
      </c>
      <c r="D168" s="10">
        <f>B168/C168</f>
        <v>-1362.7127340568723</v>
      </c>
      <c r="F168" s="38"/>
    </row>
    <row r="169" spans="1:16" x14ac:dyDescent="0.25">
      <c r="A169" s="6">
        <f>A168</f>
        <v>25</v>
      </c>
      <c r="B169" s="54">
        <f>$C$1*B$166</f>
        <v>9372.691970928001</v>
      </c>
      <c r="C169" s="10">
        <f t="shared" si="24"/>
        <v>3.3863549408993858</v>
      </c>
      <c r="D169" s="10">
        <f>B169/C169</f>
        <v>2767.7819172843992</v>
      </c>
      <c r="F169" s="38"/>
    </row>
    <row r="170" spans="1:16" x14ac:dyDescent="0.25">
      <c r="A170" s="6">
        <f>2*A168-1</f>
        <v>49</v>
      </c>
      <c r="B170" s="54">
        <f>-(2156.354+115.706*B$165-0.695*B$165^2)</f>
        <v>-4614.6289999999999</v>
      </c>
      <c r="C170" s="10">
        <f t="shared" si="24"/>
        <v>10.921333129289224</v>
      </c>
      <c r="D170" s="10">
        <f t="shared" ref="D170:D176" si="27">B170/C170</f>
        <v>-422.53348976457113</v>
      </c>
      <c r="F170" s="38"/>
    </row>
    <row r="171" spans="1:16" x14ac:dyDescent="0.25">
      <c r="A171" s="6">
        <f>2*A168-1</f>
        <v>49</v>
      </c>
      <c r="B171" s="54">
        <f>$C$1*B$166</f>
        <v>9372.691970928001</v>
      </c>
      <c r="C171" s="10">
        <f t="shared" si="24"/>
        <v>10.921333129289224</v>
      </c>
      <c r="D171" s="10">
        <f t="shared" si="27"/>
        <v>858.20035521048055</v>
      </c>
      <c r="F171" s="38"/>
    </row>
    <row r="172" spans="1:16" x14ac:dyDescent="0.25">
      <c r="A172" s="6">
        <f>A170+A168-1</f>
        <v>73</v>
      </c>
      <c r="B172" s="54">
        <f>-(2156.354+115.706*B$165-0.695*B$165^2)</f>
        <v>-4614.6289999999999</v>
      </c>
      <c r="C172" s="10">
        <f t="shared" si="24"/>
        <v>35.222390860549247</v>
      </c>
      <c r="D172" s="10">
        <f t="shared" si="27"/>
        <v>-131.01407619573615</v>
      </c>
      <c r="F172" s="38"/>
    </row>
    <row r="173" spans="1:16" x14ac:dyDescent="0.25">
      <c r="A173" s="41">
        <f>A171+A168-1</f>
        <v>73</v>
      </c>
      <c r="B173" s="57">
        <f>$C$1*B$166</f>
        <v>9372.691970928001</v>
      </c>
      <c r="C173" s="42">
        <f t="shared" si="24"/>
        <v>35.222390860549247</v>
      </c>
      <c r="D173" s="42">
        <f t="shared" si="27"/>
        <v>266.10039074394183</v>
      </c>
      <c r="E173" s="41"/>
      <c r="F173" s="43"/>
      <c r="G173" s="41"/>
    </row>
    <row r="174" spans="1:16" x14ac:dyDescent="0.25">
      <c r="A174" s="6">
        <f>A173</f>
        <v>73</v>
      </c>
      <c r="B174" s="10">
        <v>-481</v>
      </c>
      <c r="C174" s="10">
        <f t="shared" si="24"/>
        <v>35.222390860549247</v>
      </c>
      <c r="D174" s="10">
        <f t="shared" si="27"/>
        <v>-13.6560860364179</v>
      </c>
      <c r="E174" s="71">
        <f>B174/(1+$C$2)^(A174-$A$174)</f>
        <v>-481</v>
      </c>
      <c r="F174" s="38"/>
    </row>
    <row r="175" spans="1:16" x14ac:dyDescent="0.25">
      <c r="A175" s="6">
        <f>A174+B$165</f>
        <v>98</v>
      </c>
      <c r="B175" s="54">
        <f>-(2156.354+115.706*B$165-0.695*B$165^2)</f>
        <v>-4614.6289999999999</v>
      </c>
      <c r="C175" s="10">
        <f t="shared" si="24"/>
        <v>119.27551732091032</v>
      </c>
      <c r="D175" s="10">
        <f t="shared" si="27"/>
        <v>-38.688819832022681</v>
      </c>
      <c r="E175" s="71">
        <f t="shared" ref="E175:E176" si="28">B175/(1+$C$2)^(A175-$A$174)</f>
        <v>-1362.7127340568723</v>
      </c>
      <c r="F175" s="38"/>
    </row>
    <row r="176" spans="1:16" x14ac:dyDescent="0.25">
      <c r="A176" s="6">
        <f>A175</f>
        <v>98</v>
      </c>
      <c r="B176" s="54">
        <f>$C$1*B$166</f>
        <v>9372.691970928001</v>
      </c>
      <c r="C176" s="10">
        <f t="shared" si="24"/>
        <v>119.27551732091032</v>
      </c>
      <c r="D176" s="10">
        <f t="shared" si="27"/>
        <v>78.580182936543537</v>
      </c>
      <c r="E176" s="71">
        <f t="shared" si="28"/>
        <v>2767.7819172843992</v>
      </c>
      <c r="F176" s="38"/>
    </row>
    <row r="177" spans="1:16" x14ac:dyDescent="0.25">
      <c r="A177" s="46"/>
      <c r="B177" s="47"/>
      <c r="C177" s="47"/>
      <c r="D177" s="47"/>
      <c r="E177" s="46"/>
      <c r="F177" s="48"/>
      <c r="G177" s="46"/>
    </row>
    <row r="178" spans="1:16" x14ac:dyDescent="0.25">
      <c r="A178" s="46"/>
      <c r="B178" s="55"/>
      <c r="C178" s="47"/>
      <c r="D178" s="47"/>
      <c r="E178" s="46"/>
      <c r="F178" s="48"/>
      <c r="G178" s="46"/>
    </row>
    <row r="179" spans="1:16" x14ac:dyDescent="0.25">
      <c r="A179" s="46"/>
      <c r="B179" s="55"/>
      <c r="C179" s="47"/>
      <c r="D179" s="47"/>
      <c r="E179" s="46"/>
      <c r="F179" s="48"/>
      <c r="G179" s="46"/>
    </row>
    <row r="180" spans="1:16" x14ac:dyDescent="0.25">
      <c r="A180" s="49"/>
      <c r="B180" s="56"/>
      <c r="C180" s="50"/>
      <c r="D180" s="50"/>
      <c r="F180" s="51"/>
    </row>
    <row r="181" spans="1:16" x14ac:dyDescent="0.25">
      <c r="A181" s="9"/>
      <c r="B181" s="53">
        <f>B165+1</f>
        <v>26</v>
      </c>
      <c r="C181" s="10">
        <f t="shared" si="24"/>
        <v>1</v>
      </c>
      <c r="D181" s="52">
        <f>SUM(D167:D169)</f>
        <v>1035.069183227527</v>
      </c>
      <c r="E181" s="9" t="s">
        <v>116</v>
      </c>
      <c r="J181" s="44" t="s">
        <v>117</v>
      </c>
      <c r="L181" s="40">
        <f>SUM(D167:D173)</f>
        <v>1605.8223632216423</v>
      </c>
      <c r="O181" s="71">
        <f>1-(1/(1+$C$2)^(B165))</f>
        <v>0.70469722830223791</v>
      </c>
    </row>
    <row r="182" spans="1:16" x14ac:dyDescent="0.25">
      <c r="B182" s="54">
        <f>0.85095*(((100-8.48)/100)*((-0.053*(B181^2))+(5.58*B181)-26.142))</f>
        <v>64.725190358399999</v>
      </c>
      <c r="C182" s="10">
        <f t="shared" si="24"/>
        <v>1</v>
      </c>
      <c r="D182" s="53">
        <f>L181+L183</f>
        <v>1643.051510739803</v>
      </c>
      <c r="E182" s="9" t="s">
        <v>118</v>
      </c>
      <c r="J182" s="44" t="s">
        <v>119</v>
      </c>
      <c r="L182" s="40"/>
      <c r="O182" s="71">
        <f>SUM(E174:E176)/O181</f>
        <v>1311.299585289702</v>
      </c>
      <c r="P182" s="71" t="s">
        <v>136</v>
      </c>
    </row>
    <row r="183" spans="1:16" x14ac:dyDescent="0.25">
      <c r="A183" s="6">
        <v>0</v>
      </c>
      <c r="B183" s="54">
        <v>-370</v>
      </c>
      <c r="C183" s="10">
        <f t="shared" si="24"/>
        <v>1</v>
      </c>
      <c r="D183" s="10">
        <f>B183/C183</f>
        <v>-370</v>
      </c>
      <c r="F183" s="38"/>
      <c r="J183" s="44" t="s">
        <v>120</v>
      </c>
      <c r="L183" s="58">
        <f>O183</f>
        <v>37.229147518160666</v>
      </c>
      <c r="O183" s="72">
        <f>O182/(1+$C$2)^(A174)</f>
        <v>37.229147518160666</v>
      </c>
      <c r="P183" s="71" t="s">
        <v>137</v>
      </c>
    </row>
    <row r="184" spans="1:16" x14ac:dyDescent="0.25">
      <c r="A184" s="6">
        <f>B181</f>
        <v>26</v>
      </c>
      <c r="B184" s="54">
        <f>-(2156.354+115.706*B$181-0.695*B$181^2)</f>
        <v>-4694.8900000000003</v>
      </c>
      <c r="C184" s="10">
        <f t="shared" si="24"/>
        <v>3.5556726879443552</v>
      </c>
      <c r="D184" s="10">
        <f>B184/C184</f>
        <v>-1320.3943141105774</v>
      </c>
      <c r="F184" s="38"/>
    </row>
    <row r="185" spans="1:16" x14ac:dyDescent="0.25">
      <c r="A185" s="6">
        <f>A184</f>
        <v>26</v>
      </c>
      <c r="B185" s="54">
        <f>$C$1*B$182</f>
        <v>9708.7785537599993</v>
      </c>
      <c r="C185" s="10">
        <f t="shared" si="24"/>
        <v>3.5556726879443552</v>
      </c>
      <c r="D185" s="10">
        <f>B185/C185</f>
        <v>2730.5040159286837</v>
      </c>
      <c r="F185" s="38"/>
    </row>
    <row r="186" spans="1:16" x14ac:dyDescent="0.25">
      <c r="A186" s="6">
        <f>2*A184-1</f>
        <v>51</v>
      </c>
      <c r="B186" s="54">
        <f>-(2156.354+115.706*B$181-0.695*B$181^2)</f>
        <v>-4694.8900000000003</v>
      </c>
      <c r="C186" s="10">
        <f t="shared" si="24"/>
        <v>12.040769775041369</v>
      </c>
      <c r="D186" s="10">
        <f t="shared" ref="D186:D192" si="29">B186/C186</f>
        <v>-389.91610069081901</v>
      </c>
      <c r="F186" s="38"/>
    </row>
    <row r="187" spans="1:16" x14ac:dyDescent="0.25">
      <c r="A187" s="6">
        <f>2*A184-1</f>
        <v>51</v>
      </c>
      <c r="B187" s="54">
        <f>$C$1*B$182</f>
        <v>9708.7785537599993</v>
      </c>
      <c r="C187" s="10">
        <f t="shared" si="24"/>
        <v>12.040769775041369</v>
      </c>
      <c r="D187" s="10">
        <f t="shared" si="29"/>
        <v>806.32540403561052</v>
      </c>
      <c r="F187" s="38"/>
    </row>
    <row r="188" spans="1:16" x14ac:dyDescent="0.25">
      <c r="A188" s="6">
        <f>A186+A184-1</f>
        <v>76</v>
      </c>
      <c r="B188" s="54">
        <f>-(2156.354+115.706*B$181-0.695*B$181^2)</f>
        <v>-4694.8900000000003</v>
      </c>
      <c r="C188" s="10">
        <f t="shared" si="24"/>
        <v>40.77432021994332</v>
      </c>
      <c r="D188" s="10">
        <f t="shared" si="29"/>
        <v>-115.14330526358256</v>
      </c>
      <c r="F188" s="38"/>
    </row>
    <row r="189" spans="1:16" x14ac:dyDescent="0.25">
      <c r="A189" s="41">
        <f>A187+A184-1</f>
        <v>76</v>
      </c>
      <c r="B189" s="57">
        <f>$C$1*B$182</f>
        <v>9708.7785537599993</v>
      </c>
      <c r="C189" s="42">
        <f t="shared" si="24"/>
        <v>40.77432021994332</v>
      </c>
      <c r="D189" s="42">
        <f t="shared" si="29"/>
        <v>238.11012670203371</v>
      </c>
      <c r="E189" s="41"/>
      <c r="F189" s="43"/>
    </row>
    <row r="190" spans="1:16" x14ac:dyDescent="0.25">
      <c r="A190" s="6">
        <f>A189</f>
        <v>76</v>
      </c>
      <c r="B190" s="10">
        <v>-481</v>
      </c>
      <c r="C190" s="10">
        <f t="shared" si="24"/>
        <v>40.77432021994332</v>
      </c>
      <c r="D190" s="10">
        <f t="shared" si="29"/>
        <v>-11.796640567038462</v>
      </c>
      <c r="E190" s="71">
        <f>B190/(1+$C$2)^(A190-$A$190)</f>
        <v>-481</v>
      </c>
      <c r="F190" s="38"/>
    </row>
    <row r="191" spans="1:16" x14ac:dyDescent="0.25">
      <c r="A191" s="6">
        <f>A190+B$181</f>
        <v>102</v>
      </c>
      <c r="B191" s="54">
        <f>-(2156.354+115.706*B$181-0.695*B$181^2)</f>
        <v>-4694.8900000000003</v>
      </c>
      <c r="C191" s="10">
        <f t="shared" si="24"/>
        <v>144.98013677554974</v>
      </c>
      <c r="D191" s="10">
        <f t="shared" si="29"/>
        <v>-32.382987796930905</v>
      </c>
      <c r="E191" s="71">
        <f t="shared" ref="E191:E192" si="30">B191/(1+$C$2)^(A191-$A$190)</f>
        <v>-1320.3943141105774</v>
      </c>
      <c r="F191" s="38"/>
    </row>
    <row r="192" spans="1:16" x14ac:dyDescent="0.25">
      <c r="A192" s="6">
        <f>A191</f>
        <v>102</v>
      </c>
      <c r="B192" s="54">
        <f>$C$1*B$182</f>
        <v>9708.7785537599993</v>
      </c>
      <c r="C192" s="10">
        <f t="shared" si="24"/>
        <v>144.98013677554974</v>
      </c>
      <c r="D192" s="10">
        <f t="shared" si="29"/>
        <v>66.966267032777012</v>
      </c>
      <c r="E192" s="71">
        <f t="shared" si="30"/>
        <v>2730.5040159286837</v>
      </c>
      <c r="F192" s="38"/>
    </row>
    <row r="193" spans="1:16" x14ac:dyDescent="0.25">
      <c r="A193" s="46"/>
      <c r="B193" s="47"/>
      <c r="C193" s="47"/>
      <c r="D193" s="47"/>
      <c r="E193" s="46"/>
      <c r="F193" s="48"/>
    </row>
    <row r="194" spans="1:16" x14ac:dyDescent="0.25">
      <c r="A194" s="46"/>
      <c r="B194" s="55"/>
      <c r="C194" s="47"/>
      <c r="D194" s="47"/>
      <c r="E194" s="46"/>
      <c r="F194" s="48"/>
    </row>
    <row r="195" spans="1:16" x14ac:dyDescent="0.25">
      <c r="A195" s="46"/>
      <c r="B195" s="55"/>
      <c r="C195" s="47"/>
      <c r="D195" s="47"/>
      <c r="E195" s="46"/>
      <c r="F195" s="48"/>
    </row>
    <row r="196" spans="1:16" x14ac:dyDescent="0.25">
      <c r="A196" s="49"/>
      <c r="B196" s="56"/>
      <c r="C196" s="50"/>
      <c r="D196" s="50"/>
      <c r="E196" s="49"/>
      <c r="F196" s="51"/>
    </row>
    <row r="197" spans="1:16" x14ac:dyDescent="0.25">
      <c r="A197" s="9"/>
      <c r="B197" s="53">
        <f>B181+1</f>
        <v>27</v>
      </c>
      <c r="C197" s="10">
        <f t="shared" si="24"/>
        <v>1</v>
      </c>
      <c r="D197" s="52">
        <f>SUM(D183:D185)</f>
        <v>1040.1097018181063</v>
      </c>
      <c r="E197" s="9" t="s">
        <v>116</v>
      </c>
      <c r="J197" s="44" t="s">
        <v>117</v>
      </c>
      <c r="L197" s="40">
        <f>SUM(D183:D189)</f>
        <v>1579.4858266013491</v>
      </c>
      <c r="O197" s="71">
        <f>1-(1/(1+$C$2)^(B181))</f>
        <v>0.71875926504975041</v>
      </c>
    </row>
    <row r="198" spans="1:16" x14ac:dyDescent="0.25">
      <c r="B198" s="54">
        <f>0.85095*(((100-8.48)/100)*((-0.053*(B197^2))+(5.58*B197)-26.142))</f>
        <v>66.88321589664001</v>
      </c>
      <c r="C198" s="10">
        <f t="shared" si="24"/>
        <v>1</v>
      </c>
      <c r="D198" s="53">
        <f>L197+L199</f>
        <v>1611.1885673892964</v>
      </c>
      <c r="E198" s="9" t="s">
        <v>118</v>
      </c>
      <c r="J198" s="44" t="s">
        <v>119</v>
      </c>
      <c r="L198" s="40"/>
      <c r="O198" s="71">
        <f>SUM(E190:E192)/O197</f>
        <v>1292.6577047376161</v>
      </c>
      <c r="P198" s="71" t="s">
        <v>136</v>
      </c>
    </row>
    <row r="199" spans="1:16" x14ac:dyDescent="0.25">
      <c r="A199" s="6">
        <v>0</v>
      </c>
      <c r="B199" s="54">
        <v>-370</v>
      </c>
      <c r="C199" s="10">
        <f t="shared" si="24"/>
        <v>1</v>
      </c>
      <c r="D199" s="10">
        <f>B199/C199</f>
        <v>-370</v>
      </c>
      <c r="F199" s="38"/>
      <c r="J199" s="44" t="s">
        <v>120</v>
      </c>
      <c r="L199" s="58">
        <f>O199</f>
        <v>31.702740787947171</v>
      </c>
      <c r="O199" s="72">
        <f>O198/(1+$C$2)^(A190)</f>
        <v>31.702740787947171</v>
      </c>
      <c r="P199" s="71" t="s">
        <v>137</v>
      </c>
    </row>
    <row r="200" spans="1:16" x14ac:dyDescent="0.25">
      <c r="A200" s="6">
        <f>B197</f>
        <v>27</v>
      </c>
      <c r="B200" s="54">
        <f>-(2156.354+115.706*B$197-0.695*B$197^2)</f>
        <v>-4773.7609999999995</v>
      </c>
      <c r="C200" s="10">
        <f t="shared" si="24"/>
        <v>3.7334563223415733</v>
      </c>
      <c r="D200" s="10">
        <f>B200/C200</f>
        <v>-1278.6438591588935</v>
      </c>
      <c r="F200" s="38"/>
    </row>
    <row r="201" spans="1:16" x14ac:dyDescent="0.25">
      <c r="A201" s="6">
        <f>A200</f>
        <v>27</v>
      </c>
      <c r="B201" s="54">
        <f>$C$1*B$198</f>
        <v>10032.482384496001</v>
      </c>
      <c r="C201" s="10">
        <f t="shared" si="24"/>
        <v>3.7334563223415733</v>
      </c>
      <c r="D201" s="10">
        <f>B201/C201</f>
        <v>2687.1835420867501</v>
      </c>
      <c r="F201" s="38"/>
    </row>
    <row r="202" spans="1:16" x14ac:dyDescent="0.25">
      <c r="A202" s="6">
        <f>2*A200-1</f>
        <v>53</v>
      </c>
      <c r="B202" s="54">
        <f>-(2156.354+115.706*B$197-0.695*B$197^2)</f>
        <v>-4773.7609999999995</v>
      </c>
      <c r="C202" s="10">
        <f t="shared" si="24"/>
        <v>13.274948676983108</v>
      </c>
      <c r="D202" s="10">
        <f t="shared" ref="D202:D208" si="31">B202/C202</f>
        <v>-359.60673868947072</v>
      </c>
      <c r="F202" s="38"/>
    </row>
    <row r="203" spans="1:16" x14ac:dyDescent="0.25">
      <c r="A203" s="6">
        <f>2*A200-1</f>
        <v>53</v>
      </c>
      <c r="B203" s="54">
        <f>$C$1*B$198</f>
        <v>10032.482384496001</v>
      </c>
      <c r="C203" s="10">
        <f t="shared" si="24"/>
        <v>13.274948676983108</v>
      </c>
      <c r="D203" s="10">
        <f t="shared" si="31"/>
        <v>755.74547432269276</v>
      </c>
      <c r="F203" s="38"/>
    </row>
    <row r="204" spans="1:16" x14ac:dyDescent="0.25">
      <c r="A204" s="6">
        <f>A202+A200-1</f>
        <v>79</v>
      </c>
      <c r="B204" s="54">
        <f>-(2156.354+115.706*B$197-0.695*B$197^2)</f>
        <v>-4773.7609999999995</v>
      </c>
      <c r="C204" s="10">
        <f t="shared" si="24"/>
        <v>47.201372444611899</v>
      </c>
      <c r="D204" s="10">
        <f t="shared" si="31"/>
        <v>-101.13606348208909</v>
      </c>
      <c r="F204" s="38"/>
    </row>
    <row r="205" spans="1:16" x14ac:dyDescent="0.25">
      <c r="A205" s="41">
        <f>A203+A200-1</f>
        <v>79</v>
      </c>
      <c r="B205" s="57">
        <f>$C$1*B$198</f>
        <v>10032.482384496001</v>
      </c>
      <c r="C205" s="42">
        <f t="shared" si="24"/>
        <v>47.201372444611899</v>
      </c>
      <c r="D205" s="42">
        <f t="shared" si="31"/>
        <v>212.54641263383905</v>
      </c>
      <c r="E205" s="41"/>
      <c r="F205" s="43"/>
    </row>
    <row r="206" spans="1:16" x14ac:dyDescent="0.25">
      <c r="A206" s="6">
        <f>A205</f>
        <v>79</v>
      </c>
      <c r="B206" s="10">
        <v>-481</v>
      </c>
      <c r="C206" s="10">
        <f t="shared" si="24"/>
        <v>47.201372444611899</v>
      </c>
      <c r="D206" s="10">
        <f t="shared" si="31"/>
        <v>-10.190381658169493</v>
      </c>
      <c r="E206" s="71">
        <f>B206/(1+$C$2)^(A206-$A$206)</f>
        <v>-481</v>
      </c>
      <c r="F206" s="38"/>
    </row>
    <row r="207" spans="1:16" x14ac:dyDescent="0.25">
      <c r="A207" s="6">
        <f>A206+B$197</f>
        <v>106</v>
      </c>
      <c r="B207" s="54">
        <f>-(2156.354+115.706*B$197-0.695*B$197^2)</f>
        <v>-4773.7609999999995</v>
      </c>
      <c r="C207" s="10">
        <f t="shared" si="24"/>
        <v>176.22426237653559</v>
      </c>
      <c r="D207" s="10">
        <f t="shared" si="31"/>
        <v>-27.089124593978891</v>
      </c>
      <c r="E207" s="71">
        <f t="shared" ref="E207:E208" si="32">B207/(1+$C$2)^(A207-$A$206)</f>
        <v>-1278.6438591588935</v>
      </c>
      <c r="F207" s="38"/>
    </row>
    <row r="208" spans="1:16" x14ac:dyDescent="0.25">
      <c r="A208" s="6">
        <f>A207</f>
        <v>106</v>
      </c>
      <c r="B208" s="54">
        <f>$C$1*B$198</f>
        <v>10032.482384496001</v>
      </c>
      <c r="C208" s="10">
        <f t="shared" si="24"/>
        <v>176.22426237653559</v>
      </c>
      <c r="D208" s="10">
        <f t="shared" si="31"/>
        <v>56.930199333504682</v>
      </c>
      <c r="E208" s="71">
        <f t="shared" si="32"/>
        <v>2687.1835420867501</v>
      </c>
      <c r="F208" s="38"/>
    </row>
    <row r="209" spans="1:16" x14ac:dyDescent="0.25">
      <c r="A209" s="46"/>
      <c r="B209" s="47"/>
      <c r="C209" s="47"/>
      <c r="D209" s="47"/>
      <c r="E209" s="46"/>
      <c r="F209" s="48"/>
    </row>
    <row r="210" spans="1:16" x14ac:dyDescent="0.25">
      <c r="A210" s="46"/>
      <c r="B210" s="55"/>
      <c r="C210" s="47"/>
      <c r="D210" s="47"/>
      <c r="E210" s="46"/>
      <c r="F210" s="48"/>
      <c r="G210" s="46"/>
    </row>
    <row r="211" spans="1:16" x14ac:dyDescent="0.25">
      <c r="A211" s="46"/>
      <c r="B211" s="55"/>
      <c r="C211" s="47"/>
      <c r="D211" s="47"/>
      <c r="E211" s="46"/>
      <c r="F211" s="48"/>
      <c r="G211" s="46"/>
    </row>
    <row r="212" spans="1:16" x14ac:dyDescent="0.25">
      <c r="A212" s="49"/>
      <c r="B212" s="56"/>
      <c r="C212" s="50"/>
      <c r="D212" s="50"/>
      <c r="F212" s="51"/>
    </row>
    <row r="213" spans="1:16" x14ac:dyDescent="0.25">
      <c r="A213" s="9"/>
      <c r="B213" s="53">
        <f>B197+1</f>
        <v>28</v>
      </c>
      <c r="C213" s="10">
        <f t="shared" si="24"/>
        <v>1</v>
      </c>
      <c r="D213" s="52">
        <f>SUM(D199:D201)</f>
        <v>1038.5396829278566</v>
      </c>
      <c r="E213" s="9" t="s">
        <v>116</v>
      </c>
      <c r="J213" s="44" t="s">
        <v>117</v>
      </c>
      <c r="L213" s="40">
        <f>SUM(D199:D205)</f>
        <v>1546.0887677128285</v>
      </c>
      <c r="O213" s="71">
        <f>1-(1/(1+$C$2)^(B197))</f>
        <v>0.73215168099976236</v>
      </c>
    </row>
    <row r="214" spans="1:16" x14ac:dyDescent="0.25">
      <c r="B214" s="54">
        <f>0.85095*(((100-8.48)/100)*((-0.053*(B213^2))+(5.58*B213)-26.142))</f>
        <v>68.958689754240012</v>
      </c>
      <c r="C214" s="10">
        <f t="shared" si="24"/>
        <v>1</v>
      </c>
      <c r="D214" s="53">
        <f>L213+L215</f>
        <v>1572.9284152767364</v>
      </c>
      <c r="E214" s="9" t="s">
        <v>118</v>
      </c>
      <c r="J214" s="44" t="s">
        <v>119</v>
      </c>
      <c r="L214" s="40"/>
      <c r="O214" s="71">
        <f>SUM(E206:E208)/O213</f>
        <v>1266.8682009461338</v>
      </c>
      <c r="P214" s="71" t="s">
        <v>136</v>
      </c>
    </row>
    <row r="215" spans="1:16" x14ac:dyDescent="0.25">
      <c r="A215" s="6">
        <v>0</v>
      </c>
      <c r="B215" s="54">
        <v>-370</v>
      </c>
      <c r="C215" s="10">
        <f t="shared" ref="C215:C256" si="33">(1+$C$2)^A215</f>
        <v>1</v>
      </c>
      <c r="D215" s="10">
        <f>B215/C215</f>
        <v>-370</v>
      </c>
      <c r="F215" s="38"/>
      <c r="J215" s="44" t="s">
        <v>120</v>
      </c>
      <c r="L215" s="58">
        <f>O215</f>
        <v>26.839647563907828</v>
      </c>
      <c r="O215" s="72">
        <f>O214/(1+$C$2)^(A206)</f>
        <v>26.839647563907828</v>
      </c>
      <c r="P215" s="71" t="s">
        <v>137</v>
      </c>
    </row>
    <row r="216" spans="1:16" x14ac:dyDescent="0.25">
      <c r="A216" s="6">
        <f>B213</f>
        <v>28</v>
      </c>
      <c r="B216" s="54">
        <f>-(2156.354+115.706*B$213-0.695*B$213^2)</f>
        <v>-4851.2419999999993</v>
      </c>
      <c r="C216" s="10">
        <f t="shared" si="33"/>
        <v>3.9201291384586514</v>
      </c>
      <c r="D216" s="10">
        <f>B216/C216</f>
        <v>-1237.5209664412869</v>
      </c>
      <c r="F216" s="38"/>
    </row>
    <row r="217" spans="1:16" x14ac:dyDescent="0.25">
      <c r="A217" s="6">
        <f>A216</f>
        <v>28</v>
      </c>
      <c r="B217" s="54">
        <f>$C$1*B$214</f>
        <v>10343.803463136002</v>
      </c>
      <c r="C217" s="10">
        <f t="shared" si="33"/>
        <v>3.9201291384586514</v>
      </c>
      <c r="D217" s="10">
        <f>B217/C217</f>
        <v>2638.6384473045864</v>
      </c>
      <c r="F217" s="38"/>
    </row>
    <row r="218" spans="1:16" x14ac:dyDescent="0.25">
      <c r="A218" s="6">
        <f>2*A216-1</f>
        <v>55</v>
      </c>
      <c r="B218" s="54">
        <f>-(2156.354+115.706*B$213-0.695*B$213^2)</f>
        <v>-4851.2419999999993</v>
      </c>
      <c r="C218" s="10">
        <f t="shared" si="33"/>
        <v>14.635630916373879</v>
      </c>
      <c r="D218" s="10">
        <f t="shared" ref="D218:D224" si="34">B218/C218</f>
        <v>-331.46791058884821</v>
      </c>
      <c r="F218" s="38"/>
    </row>
    <row r="219" spans="1:16" x14ac:dyDescent="0.25">
      <c r="A219" s="6">
        <f>2*A216-1</f>
        <v>55</v>
      </c>
      <c r="B219" s="54">
        <f>$C$1*B$214</f>
        <v>10343.803463136002</v>
      </c>
      <c r="C219" s="10">
        <f t="shared" si="33"/>
        <v>14.635630916373879</v>
      </c>
      <c r="D219" s="10">
        <f t="shared" si="34"/>
        <v>706.75487255993073</v>
      </c>
      <c r="F219" s="38"/>
    </row>
    <row r="220" spans="1:16" x14ac:dyDescent="0.25">
      <c r="A220" s="6">
        <f>A218+A216-1</f>
        <v>82</v>
      </c>
      <c r="B220" s="54">
        <f>-(2156.354+115.706*B$213-0.695*B$213^2)</f>
        <v>-4851.2419999999993</v>
      </c>
      <c r="C220" s="10">
        <f t="shared" si="33"/>
        <v>54.641488776193853</v>
      </c>
      <c r="D220" s="10">
        <f t="shared" si="34"/>
        <v>-88.783122653744073</v>
      </c>
      <c r="F220" s="38"/>
    </row>
    <row r="221" spans="1:16" x14ac:dyDescent="0.25">
      <c r="A221" s="41">
        <f>A219+A216-1</f>
        <v>82</v>
      </c>
      <c r="B221" s="57">
        <f>$C$1*B$214</f>
        <v>10343.803463136002</v>
      </c>
      <c r="C221" s="42">
        <f t="shared" si="33"/>
        <v>54.641488776193853</v>
      </c>
      <c r="D221" s="42">
        <f t="shared" si="34"/>
        <v>189.30310456040465</v>
      </c>
      <c r="E221" s="41"/>
      <c r="F221" s="43"/>
      <c r="G221" s="41"/>
    </row>
    <row r="222" spans="1:16" x14ac:dyDescent="0.25">
      <c r="A222" s="6">
        <f>A221</f>
        <v>82</v>
      </c>
      <c r="B222" s="10">
        <v>-481</v>
      </c>
      <c r="C222" s="10">
        <f t="shared" si="33"/>
        <v>54.641488776193853</v>
      </c>
      <c r="D222" s="10">
        <f t="shared" si="34"/>
        <v>-8.8028348197123343</v>
      </c>
      <c r="E222" s="71">
        <f>B222/(1+$C$2)^(A222-$A$222)</f>
        <v>-481</v>
      </c>
      <c r="F222" s="38"/>
    </row>
    <row r="223" spans="1:16" x14ac:dyDescent="0.25">
      <c r="A223" s="6">
        <f>A222+B$213</f>
        <v>110</v>
      </c>
      <c r="B223" s="54">
        <f>-(2156.354+115.706*B$213-0.695*B$213^2)</f>
        <v>-4851.2419999999993</v>
      </c>
      <c r="C223" s="10">
        <f t="shared" si="33"/>
        <v>214.20169232031884</v>
      </c>
      <c r="D223" s="10">
        <f t="shared" si="34"/>
        <v>-22.648009674664078</v>
      </c>
      <c r="E223" s="71">
        <f t="shared" ref="E223:E224" si="35">B223/(1+$C$2)^(A223-$A$222)</f>
        <v>-1237.5209664412869</v>
      </c>
      <c r="F223" s="38"/>
    </row>
    <row r="224" spans="1:16" x14ac:dyDescent="0.25">
      <c r="A224" s="6">
        <f>A223</f>
        <v>110</v>
      </c>
      <c r="B224" s="54">
        <f>$C$1*B$214</f>
        <v>10343.803463136002</v>
      </c>
      <c r="C224" s="10">
        <f t="shared" si="33"/>
        <v>214.20169232031884</v>
      </c>
      <c r="D224" s="10">
        <f t="shared" si="34"/>
        <v>48.290017464791077</v>
      </c>
      <c r="E224" s="71">
        <f t="shared" si="35"/>
        <v>2638.6384473045864</v>
      </c>
      <c r="F224" s="38"/>
    </row>
    <row r="225" spans="1:16" x14ac:dyDescent="0.25">
      <c r="A225" s="46"/>
      <c r="B225" s="47"/>
      <c r="C225" s="47"/>
      <c r="D225" s="47"/>
      <c r="E225" s="46"/>
      <c r="F225" s="48"/>
      <c r="G225" s="46"/>
    </row>
    <row r="226" spans="1:16" x14ac:dyDescent="0.25">
      <c r="A226" s="46"/>
      <c r="B226" s="55"/>
      <c r="C226" s="47"/>
      <c r="D226" s="47"/>
      <c r="E226" s="46"/>
      <c r="F226" s="48"/>
      <c r="G226" s="46"/>
    </row>
    <row r="227" spans="1:16" x14ac:dyDescent="0.25">
      <c r="A227" s="46"/>
      <c r="B227" s="55"/>
      <c r="C227" s="47"/>
      <c r="D227" s="47"/>
      <c r="E227" s="46"/>
      <c r="F227" s="48"/>
      <c r="G227" s="46"/>
    </row>
    <row r="228" spans="1:16" x14ac:dyDescent="0.25">
      <c r="A228" s="49"/>
      <c r="B228" s="56"/>
      <c r="C228" s="50"/>
      <c r="D228" s="50"/>
      <c r="F228" s="51"/>
    </row>
    <row r="229" spans="1:16" x14ac:dyDescent="0.25">
      <c r="A229" s="9"/>
      <c r="B229" s="53">
        <f>B213+1</f>
        <v>29</v>
      </c>
      <c r="C229" s="10">
        <f t="shared" si="33"/>
        <v>1</v>
      </c>
      <c r="D229" s="52">
        <f>SUM(D215:D217)</f>
        <v>1031.1174808632995</v>
      </c>
      <c r="E229" s="9" t="s">
        <v>116</v>
      </c>
      <c r="J229" s="44" t="s">
        <v>117</v>
      </c>
      <c r="L229" s="40">
        <f>SUM(D215:D221)</f>
        <v>1506.9244247410425</v>
      </c>
      <c r="O229" s="71">
        <f>1-(1/(1+$C$2)^(B213))</f>
        <v>0.74490636285691636</v>
      </c>
    </row>
    <row r="230" spans="1:16" x14ac:dyDescent="0.25">
      <c r="B230" s="54">
        <f>0.85095*(((100-8.48)/100)*((-0.053*(B229^2))+(5.58*B229)-26.142))</f>
        <v>70.951611931199992</v>
      </c>
      <c r="C230" s="10">
        <f t="shared" si="33"/>
        <v>1</v>
      </c>
      <c r="D230" s="53">
        <f>L229+L231</f>
        <v>1529.5301827397147</v>
      </c>
      <c r="E230" s="9" t="s">
        <v>118</v>
      </c>
      <c r="J230" s="44" t="s">
        <v>119</v>
      </c>
      <c r="L230" s="40"/>
      <c r="O230" s="71">
        <f>SUM(E222:E224)/O229</f>
        <v>1235.2122719618092</v>
      </c>
      <c r="P230" s="71" t="s">
        <v>136</v>
      </c>
    </row>
    <row r="231" spans="1:16" x14ac:dyDescent="0.25">
      <c r="A231" s="6">
        <v>0</v>
      </c>
      <c r="B231" s="54">
        <v>-370</v>
      </c>
      <c r="C231" s="10">
        <f t="shared" si="33"/>
        <v>1</v>
      </c>
      <c r="D231" s="10">
        <f>B231/C231</f>
        <v>-370</v>
      </c>
      <c r="F231" s="38"/>
      <c r="J231" s="44" t="s">
        <v>120</v>
      </c>
      <c r="L231" s="58">
        <f>O231</f>
        <v>22.605757998672342</v>
      </c>
      <c r="O231" s="72">
        <f>O230/(1+$C$2)^(A222)</f>
        <v>22.605757998672342</v>
      </c>
      <c r="P231" s="71" t="s">
        <v>137</v>
      </c>
    </row>
    <row r="232" spans="1:16" x14ac:dyDescent="0.25">
      <c r="A232" s="6">
        <f>B229</f>
        <v>29</v>
      </c>
      <c r="B232" s="54">
        <f>-(2156.354+115.706*B$229-0.695*B$229^2)</f>
        <v>-4927.3329999999996</v>
      </c>
      <c r="C232" s="10">
        <f t="shared" si="33"/>
        <v>4.1161355953815848</v>
      </c>
      <c r="D232" s="10">
        <f>B232/C232</f>
        <v>-1197.0774251287057</v>
      </c>
      <c r="F232" s="38"/>
    </row>
    <row r="233" spans="1:16" x14ac:dyDescent="0.25">
      <c r="A233" s="6">
        <f>A232</f>
        <v>29</v>
      </c>
      <c r="B233" s="54">
        <f>$C$1*B$230</f>
        <v>10642.741789679998</v>
      </c>
      <c r="C233" s="10">
        <f t="shared" si="33"/>
        <v>4.1161355953815848</v>
      </c>
      <c r="D233" s="10">
        <f>B233/C233</f>
        <v>2585.6149640992007</v>
      </c>
      <c r="F233" s="38"/>
    </row>
    <row r="234" spans="1:16" x14ac:dyDescent="0.25">
      <c r="A234" s="6">
        <f>2*A232-1</f>
        <v>57</v>
      </c>
      <c r="B234" s="54">
        <f>-(2156.354+115.706*B$229-0.695*B$229^2)</f>
        <v>-4927.3329999999996</v>
      </c>
      <c r="C234" s="10">
        <f t="shared" si="33"/>
        <v>16.135783085302201</v>
      </c>
      <c r="D234" s="10">
        <f t="shared" ref="D234:D240" si="36">B234/C234</f>
        <v>-305.36683431795882</v>
      </c>
      <c r="F234" s="38"/>
    </row>
    <row r="235" spans="1:16" x14ac:dyDescent="0.25">
      <c r="A235" s="6">
        <f>2*A232-1</f>
        <v>57</v>
      </c>
      <c r="B235" s="54">
        <f>$C$1*B$230</f>
        <v>10642.741789679998</v>
      </c>
      <c r="C235" s="10">
        <f t="shared" si="33"/>
        <v>16.135783085302201</v>
      </c>
      <c r="D235" s="10">
        <f t="shared" si="36"/>
        <v>659.57392544364848</v>
      </c>
      <c r="F235" s="38"/>
    </row>
    <row r="236" spans="1:16" x14ac:dyDescent="0.25">
      <c r="A236" s="6">
        <f>A234+A232-1</f>
        <v>85</v>
      </c>
      <c r="B236" s="54">
        <f>-(2156.354+115.706*B$229-0.695*B$229^2)</f>
        <v>-4927.3329999999996</v>
      </c>
      <c r="C236" s="10">
        <f t="shared" si="33"/>
        <v>63.254353444541401</v>
      </c>
      <c r="D236" s="10">
        <f t="shared" si="36"/>
        <v>-77.897136429037502</v>
      </c>
      <c r="F236" s="38"/>
    </row>
    <row r="237" spans="1:16" x14ac:dyDescent="0.25">
      <c r="A237" s="41">
        <f>A235+A232-1</f>
        <v>85</v>
      </c>
      <c r="B237" s="57">
        <f>$C$1*B$230</f>
        <v>10642.741789679998</v>
      </c>
      <c r="C237" s="42">
        <f t="shared" si="33"/>
        <v>63.254353444541401</v>
      </c>
      <c r="D237" s="42">
        <f t="shared" si="36"/>
        <v>168.2531116061613</v>
      </c>
      <c r="E237" s="41"/>
      <c r="F237" s="43"/>
    </row>
    <row r="238" spans="1:16" x14ac:dyDescent="0.25">
      <c r="A238" s="6">
        <f>A237</f>
        <v>85</v>
      </c>
      <c r="B238" s="10">
        <v>-481</v>
      </c>
      <c r="C238" s="10">
        <f t="shared" si="33"/>
        <v>63.254353444541401</v>
      </c>
      <c r="D238" s="10">
        <f t="shared" si="36"/>
        <v>-7.6042196909295638</v>
      </c>
      <c r="E238" s="71">
        <f>B238/(1+$C$2)^(A238-$A$238)</f>
        <v>-481</v>
      </c>
      <c r="F238" s="38"/>
    </row>
    <row r="239" spans="1:16" x14ac:dyDescent="0.25">
      <c r="A239" s="6">
        <f>A238+B$229</f>
        <v>114</v>
      </c>
      <c r="B239" s="54">
        <f>-(2156.354+115.706*B$229-0.695*B$229^2)</f>
        <v>-4927.3329999999996</v>
      </c>
      <c r="C239" s="10">
        <f t="shared" si="33"/>
        <v>260.36349577592466</v>
      </c>
      <c r="D239" s="10">
        <f t="shared" si="36"/>
        <v>-18.924822718775392</v>
      </c>
      <c r="E239" s="71">
        <f t="shared" ref="E239:E240" si="37">B239/(1+$C$2)^(A239-$A$238)</f>
        <v>-1197.0774251287057</v>
      </c>
      <c r="F239" s="38"/>
    </row>
    <row r="240" spans="1:16" x14ac:dyDescent="0.25">
      <c r="A240" s="6">
        <f>A239</f>
        <v>114</v>
      </c>
      <c r="B240" s="54">
        <f>$C$1*B$230</f>
        <v>10642.741789679998</v>
      </c>
      <c r="C240" s="10">
        <f t="shared" si="33"/>
        <v>260.36349577592466</v>
      </c>
      <c r="D240" s="10">
        <f t="shared" si="36"/>
        <v>40.876474476435085</v>
      </c>
      <c r="E240" s="71">
        <f t="shared" si="37"/>
        <v>2585.6149640992007</v>
      </c>
      <c r="F240" s="38"/>
    </row>
    <row r="241" spans="1:16" x14ac:dyDescent="0.25">
      <c r="A241" s="46"/>
      <c r="B241" s="47"/>
      <c r="C241" s="47"/>
      <c r="D241" s="47"/>
      <c r="E241" s="46"/>
      <c r="F241" s="48"/>
    </row>
    <row r="242" spans="1:16" x14ac:dyDescent="0.25">
      <c r="A242" s="46"/>
      <c r="B242" s="55"/>
      <c r="C242" s="47"/>
      <c r="D242" s="47"/>
      <c r="E242" s="46"/>
      <c r="F242" s="48"/>
      <c r="G242" s="46"/>
    </row>
    <row r="243" spans="1:16" x14ac:dyDescent="0.25">
      <c r="A243" s="46"/>
      <c r="B243" s="55"/>
      <c r="C243" s="47"/>
      <c r="D243" s="47"/>
      <c r="E243" s="46"/>
      <c r="F243" s="48"/>
      <c r="G243" s="46"/>
    </row>
    <row r="244" spans="1:16" x14ac:dyDescent="0.25">
      <c r="A244" s="49"/>
      <c r="B244" s="56"/>
      <c r="C244" s="50"/>
      <c r="D244" s="50"/>
      <c r="F244" s="51"/>
    </row>
    <row r="245" spans="1:16" x14ac:dyDescent="0.25">
      <c r="A245" s="9"/>
      <c r="B245" s="53">
        <f>B229+1</f>
        <v>30</v>
      </c>
      <c r="C245" s="10">
        <f t="shared" si="33"/>
        <v>1</v>
      </c>
      <c r="D245" s="52">
        <f>SUM(D231:D233)</f>
        <v>1018.537538970495</v>
      </c>
      <c r="E245" s="9" t="s">
        <v>116</v>
      </c>
      <c r="J245" s="44" t="s">
        <v>117</v>
      </c>
      <c r="L245" s="40">
        <f>SUM(D231:D237)</f>
        <v>1463.1006052733085</v>
      </c>
      <c r="O245" s="71">
        <f>1-(1/(1+$C$2)^(B229))</f>
        <v>0.757053678911349</v>
      </c>
    </row>
    <row r="246" spans="1:16" x14ac:dyDescent="0.25">
      <c r="B246" s="54">
        <f>0.85095*(((100-8.48)/100)*((-0.053*(B245^2))+(5.58*B245)-26.142))</f>
        <v>72.861982427520019</v>
      </c>
      <c r="C246" s="10">
        <f t="shared" si="33"/>
        <v>1</v>
      </c>
      <c r="D246" s="53">
        <f>L245+L247</f>
        <v>1482.0522760284944</v>
      </c>
      <c r="E246" s="9" t="s">
        <v>118</v>
      </c>
      <c r="J246" s="44" t="s">
        <v>119</v>
      </c>
      <c r="L246" s="40"/>
      <c r="O246" s="71">
        <f>SUM(E238:E240)/O245</f>
        <v>1198.7756803131099</v>
      </c>
      <c r="P246" s="71" t="s">
        <v>136</v>
      </c>
    </row>
    <row r="247" spans="1:16" x14ac:dyDescent="0.25">
      <c r="A247" s="6">
        <v>0</v>
      </c>
      <c r="B247" s="54">
        <v>-370</v>
      </c>
      <c r="C247" s="10">
        <f t="shared" si="33"/>
        <v>1</v>
      </c>
      <c r="D247" s="10">
        <f>B247/C247</f>
        <v>-370</v>
      </c>
      <c r="F247" s="38"/>
      <c r="J247" s="44" t="s">
        <v>120</v>
      </c>
      <c r="L247" s="58">
        <f>O247</f>
        <v>18.951670755185933</v>
      </c>
      <c r="O247" s="72">
        <f>O246/(1+$C$2)^(A238)</f>
        <v>18.951670755185933</v>
      </c>
      <c r="P247" s="71" t="s">
        <v>137</v>
      </c>
    </row>
    <row r="248" spans="1:16" x14ac:dyDescent="0.25">
      <c r="A248" s="6">
        <f>B245</f>
        <v>30</v>
      </c>
      <c r="B248" s="54">
        <f>-(2156.354+115.706*B$245-0.695*B$245^2)</f>
        <v>-5002.0339999999997</v>
      </c>
      <c r="C248" s="10">
        <f t="shared" si="33"/>
        <v>4.3219423751506625</v>
      </c>
      <c r="D248" s="10">
        <f>B248/C248</f>
        <v>-1157.3578650098566</v>
      </c>
      <c r="F248" s="38"/>
    </row>
    <row r="249" spans="1:16" x14ac:dyDescent="0.25">
      <c r="A249" s="6">
        <f>A248</f>
        <v>30</v>
      </c>
      <c r="B249" s="54">
        <f>$C$1*B$246</f>
        <v>10929.297364128002</v>
      </c>
      <c r="C249" s="10">
        <f t="shared" si="33"/>
        <v>4.3219423751506625</v>
      </c>
      <c r="D249" s="10">
        <f>B249/C249</f>
        <v>2528.7929397131325</v>
      </c>
      <c r="F249" s="38"/>
    </row>
    <row r="250" spans="1:16" x14ac:dyDescent="0.25">
      <c r="A250" s="6">
        <f>2*A248-1</f>
        <v>59</v>
      </c>
      <c r="B250" s="54">
        <f>-(2156.354+115.706*B$245-0.695*B$245^2)</f>
        <v>-5002.0339999999997</v>
      </c>
      <c r="C250" s="10">
        <f t="shared" si="33"/>
        <v>17.789700851545678</v>
      </c>
      <c r="D250" s="10">
        <f t="shared" ref="D250:D256" si="38">B250/C250</f>
        <v>-281.1758354871601</v>
      </c>
      <c r="F250" s="38"/>
    </row>
    <row r="251" spans="1:16" x14ac:dyDescent="0.25">
      <c r="A251" s="6">
        <f>2*A248-1</f>
        <v>59</v>
      </c>
      <c r="B251" s="54">
        <f>$C$1*B$246</f>
        <v>10929.297364128002</v>
      </c>
      <c r="C251" s="10">
        <f t="shared" si="33"/>
        <v>17.789700851545678</v>
      </c>
      <c r="D251" s="10">
        <f t="shared" si="38"/>
        <v>614.3609414982601</v>
      </c>
      <c r="F251" s="38"/>
    </row>
    <row r="252" spans="1:16" x14ac:dyDescent="0.25">
      <c r="A252" s="6">
        <f>A250+A248-1</f>
        <v>88</v>
      </c>
      <c r="B252" s="54">
        <f>-(2156.354+115.706*B$245-0.695*B$245^2)</f>
        <v>-5002.0339999999997</v>
      </c>
      <c r="C252" s="10">
        <f t="shared" si="33"/>
        <v>73.224820906237241</v>
      </c>
      <c r="D252" s="10">
        <f t="shared" si="38"/>
        <v>-68.310634810633317</v>
      </c>
      <c r="F252" s="38"/>
    </row>
    <row r="253" spans="1:16" x14ac:dyDescent="0.25">
      <c r="A253" s="41">
        <f>A251+A248-1</f>
        <v>88</v>
      </c>
      <c r="B253" s="57">
        <f>$C$1*B$246</f>
        <v>10929.297364128002</v>
      </c>
      <c r="C253" s="42">
        <f t="shared" si="33"/>
        <v>73.224820906237241</v>
      </c>
      <c r="D253" s="42">
        <f t="shared" si="38"/>
        <v>149.25673055756224</v>
      </c>
      <c r="E253" s="41"/>
      <c r="F253" s="43"/>
    </row>
    <row r="254" spans="1:16" x14ac:dyDescent="0.25">
      <c r="A254" s="6">
        <f>A253</f>
        <v>88</v>
      </c>
      <c r="B254" s="10">
        <v>-481</v>
      </c>
      <c r="C254" s="10">
        <f t="shared" si="33"/>
        <v>73.224820906237241</v>
      </c>
      <c r="D254" s="10">
        <f t="shared" si="38"/>
        <v>-6.5688108765183575</v>
      </c>
      <c r="E254" s="71">
        <f>B254/(1+$C$2)^(A254-$A$254)</f>
        <v>-481</v>
      </c>
      <c r="F254" s="38"/>
    </row>
    <row r="255" spans="1:16" x14ac:dyDescent="0.25">
      <c r="A255" s="6">
        <f>A254+B$245</f>
        <v>118</v>
      </c>
      <c r="B255" s="54">
        <f>-(2156.354+115.706*B$245-0.695*B$245^2)</f>
        <v>-5002.0339999999997</v>
      </c>
      <c r="C255" s="10">
        <f t="shared" si="33"/>
        <v>316.47345638748493</v>
      </c>
      <c r="D255" s="10">
        <f t="shared" si="38"/>
        <v>-15.805540398546382</v>
      </c>
      <c r="E255" s="71">
        <f t="shared" ref="E255:E256" si="39">B255/(1+$C$2)^(A255-$A$254)</f>
        <v>-1157.3578650098566</v>
      </c>
      <c r="F255" s="38"/>
    </row>
    <row r="256" spans="1:16" x14ac:dyDescent="0.25">
      <c r="A256" s="6">
        <f>A255</f>
        <v>118</v>
      </c>
      <c r="B256" s="54">
        <f>$C$1*B$246</f>
        <v>10929.297364128002</v>
      </c>
      <c r="C256" s="10">
        <f t="shared" si="33"/>
        <v>316.47345638748493</v>
      </c>
      <c r="D256" s="10">
        <f t="shared" si="38"/>
        <v>34.534641511123603</v>
      </c>
      <c r="E256" s="71">
        <f t="shared" si="39"/>
        <v>2528.7929397131325</v>
      </c>
      <c r="F256" s="38"/>
    </row>
    <row r="257" spans="1:16" x14ac:dyDescent="0.25">
      <c r="A257" s="46"/>
      <c r="B257" s="47"/>
      <c r="C257" s="47"/>
      <c r="D257" s="47"/>
      <c r="E257" s="46"/>
      <c r="F257" s="48"/>
    </row>
    <row r="258" spans="1:16" x14ac:dyDescent="0.25">
      <c r="A258" s="46"/>
      <c r="B258" s="55"/>
      <c r="C258" s="47"/>
      <c r="D258" s="47"/>
      <c r="E258" s="46"/>
      <c r="F258" s="48"/>
    </row>
    <row r="259" spans="1:16" x14ac:dyDescent="0.25">
      <c r="A259" s="46"/>
      <c r="B259" s="55"/>
      <c r="C259" s="47"/>
      <c r="D259" s="47"/>
      <c r="E259" s="46"/>
      <c r="F259" s="48"/>
    </row>
    <row r="260" spans="1:16" x14ac:dyDescent="0.25">
      <c r="A260" s="49"/>
      <c r="B260" s="56"/>
      <c r="C260" s="50"/>
      <c r="D260" s="50"/>
      <c r="E260" s="49"/>
      <c r="F260" s="51"/>
    </row>
    <row r="261" spans="1:16" x14ac:dyDescent="0.25">
      <c r="D261" s="52">
        <f>SUM(D247:D249)</f>
        <v>1001.4350747032759</v>
      </c>
      <c r="E261" s="9" t="s">
        <v>116</v>
      </c>
      <c r="J261" s="44" t="s">
        <v>117</v>
      </c>
      <c r="L261" s="40">
        <f>SUM(D247:D253)</f>
        <v>1415.5662764613046</v>
      </c>
      <c r="O261" s="71">
        <f>1-(1/(1+$C$2)^(B245))</f>
        <v>0.76862255134414181</v>
      </c>
    </row>
    <row r="262" spans="1:16" x14ac:dyDescent="0.25">
      <c r="D262" s="53">
        <f>L261+L263</f>
        <v>1431.3871630782708</v>
      </c>
      <c r="E262" s="9" t="s">
        <v>118</v>
      </c>
      <c r="J262" s="44" t="s">
        <v>119</v>
      </c>
      <c r="L262" s="40"/>
      <c r="O262" s="71">
        <f>SUM(E254:E256)/O261</f>
        <v>1158.4815891052276</v>
      </c>
      <c r="P262" s="71" t="s">
        <v>136</v>
      </c>
    </row>
    <row r="263" spans="1:16" x14ac:dyDescent="0.25">
      <c r="J263" s="44" t="s">
        <v>120</v>
      </c>
      <c r="L263" s="58">
        <f>O263</f>
        <v>15.82088661696609</v>
      </c>
      <c r="O263" s="72">
        <f>O262/(1+$C$2)^(A254)</f>
        <v>15.82088661696609</v>
      </c>
      <c r="P263" s="71" t="s">
        <v>137</v>
      </c>
    </row>
    <row r="1048576" spans="9:9" x14ac:dyDescent="0.25">
      <c r="I1048576" s="10"/>
    </row>
  </sheetData>
  <sheetProtection selectLockedCells="1" selectUnlockedCells="1"/>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78E47D-0752-45DB-A2E2-81408AE9EA27}">
  <dimension ref="A1:C47"/>
  <sheetViews>
    <sheetView showGridLines="0" workbookViewId="0">
      <selection activeCell="A3" sqref="A3"/>
    </sheetView>
  </sheetViews>
  <sheetFormatPr defaultRowHeight="15" x14ac:dyDescent="0.25"/>
  <cols>
    <col min="1" max="1" width="88.140625" customWidth="1"/>
    <col min="2" max="2" width="6.28515625" customWidth="1"/>
    <col min="3" max="3" width="107" style="61" customWidth="1"/>
  </cols>
  <sheetData>
    <row r="1" spans="1:3" ht="18.75" x14ac:dyDescent="0.3">
      <c r="A1" s="86" t="s">
        <v>40</v>
      </c>
      <c r="C1" s="84"/>
    </row>
    <row r="2" spans="1:3" ht="54" x14ac:dyDescent="0.25">
      <c r="A2" s="65" t="s">
        <v>139</v>
      </c>
      <c r="C2" s="85" t="s">
        <v>41</v>
      </c>
    </row>
    <row r="3" spans="1:3" x14ac:dyDescent="0.25">
      <c r="A3" s="87" t="s">
        <v>138</v>
      </c>
      <c r="C3" s="85"/>
    </row>
    <row r="4" spans="1:3" ht="12.75" customHeight="1" x14ac:dyDescent="0.25">
      <c r="A4" s="88" t="s">
        <v>140</v>
      </c>
      <c r="C4" s="70"/>
    </row>
    <row r="6" spans="1:3" x14ac:dyDescent="0.25">
      <c r="C6" s="62"/>
    </row>
    <row r="7" spans="1:3" ht="45" x14ac:dyDescent="0.25">
      <c r="C7" s="63" t="s">
        <v>42</v>
      </c>
    </row>
    <row r="10" spans="1:3" x14ac:dyDescent="0.25">
      <c r="C10" s="62"/>
    </row>
    <row r="11" spans="1:3" x14ac:dyDescent="0.25">
      <c r="C11" s="62"/>
    </row>
    <row r="12" spans="1:3" ht="75" x14ac:dyDescent="0.25">
      <c r="C12" s="64" t="s">
        <v>135</v>
      </c>
    </row>
    <row r="14" spans="1:3" ht="60" x14ac:dyDescent="0.25">
      <c r="C14" s="63" t="s">
        <v>43</v>
      </c>
    </row>
    <row r="16" spans="1:3" x14ac:dyDescent="0.25">
      <c r="C16" s="62"/>
    </row>
    <row r="17" spans="1:3" ht="105" x14ac:dyDescent="0.25">
      <c r="C17" s="63" t="s">
        <v>44</v>
      </c>
    </row>
    <row r="20" spans="1:3" ht="120" x14ac:dyDescent="0.25">
      <c r="C20" s="61" t="s">
        <v>45</v>
      </c>
    </row>
    <row r="22" spans="1:3" x14ac:dyDescent="0.25">
      <c r="A22" s="63"/>
    </row>
    <row r="23" spans="1:3" x14ac:dyDescent="0.25">
      <c r="C23" s="62"/>
    </row>
    <row r="29" spans="1:3" x14ac:dyDescent="0.25">
      <c r="C29" s="62"/>
    </row>
    <row r="47" spans="1:1" x14ac:dyDescent="0.25">
      <c r="A47" s="60"/>
    </row>
  </sheetData>
  <sheetProtection algorithmName="SHA-512" hashValue="vxaUr8NXRFjkiq9xEiSew2EeXbKr30rfUTgTcrO0VvMb9ot025G8Cb7B8yw2UUhBjxhgUT4vNu7JEjoDvqhCmg==" saltValue="QM9ABgYR4TSo5Da+tAORxg==" spinCount="100000" sheet="1" objects="1" scenarios="1"/>
  <hyperlinks>
    <hyperlink ref="A3" r:id="rId1" xr:uid="{791548FA-91DD-416B-8284-4FAD1195C7CC}"/>
  </hyperlinks>
  <pageMargins left="0.7" right="0.7" top="0.75" bottom="0.75" header="0.3" footer="0.3"/>
  <pageSetup orientation="portrait" r:id="rId2"/>
  <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37"/>
  <sheetViews>
    <sheetView zoomScale="91" zoomScaleNormal="91" workbookViewId="0">
      <selection activeCell="G4" sqref="G4"/>
    </sheetView>
  </sheetViews>
  <sheetFormatPr defaultColWidth="4.7109375" defaultRowHeight="15" x14ac:dyDescent="0.25"/>
  <cols>
    <col min="1" max="2" width="7.140625" style="6" bestFit="1" customWidth="1"/>
    <col min="3" max="5" width="4.7109375" style="6"/>
    <col min="6" max="6" width="31" style="6" customWidth="1"/>
    <col min="7" max="11" width="6.140625" style="6" bestFit="1" customWidth="1"/>
    <col min="12" max="14" width="7.140625" style="6" bestFit="1" customWidth="1"/>
    <col min="15" max="15" width="6.140625" style="6" bestFit="1" customWidth="1"/>
    <col min="16" max="16384" width="4.7109375" style="6"/>
  </cols>
  <sheetData>
    <row r="1" spans="1:15" ht="60" x14ac:dyDescent="0.25">
      <c r="A1" s="6" t="s">
        <v>9</v>
      </c>
      <c r="B1" s="15" t="s">
        <v>46</v>
      </c>
    </row>
    <row r="2" spans="1:15" x14ac:dyDescent="0.25">
      <c r="A2" s="6" t="s">
        <v>47</v>
      </c>
      <c r="B2" s="6">
        <f>Laskuri!B18</f>
        <v>140</v>
      </c>
      <c r="F2" s="9" t="s">
        <v>48</v>
      </c>
    </row>
    <row r="3" spans="1:15" x14ac:dyDescent="0.25">
      <c r="A3" s="6" t="s">
        <v>49</v>
      </c>
      <c r="B3" s="6">
        <f>Laskuri!B19</f>
        <v>160</v>
      </c>
      <c r="F3" s="6" t="s">
        <v>50</v>
      </c>
      <c r="G3" s="16">
        <v>0.08</v>
      </c>
      <c r="H3" s="16">
        <v>7.0000000000000007E-2</v>
      </c>
      <c r="I3" s="16">
        <v>0.06</v>
      </c>
      <c r="J3" s="16">
        <v>0.05</v>
      </c>
      <c r="K3" s="16">
        <v>0.04</v>
      </c>
      <c r="L3" s="16">
        <v>0.03</v>
      </c>
      <c r="M3" s="16">
        <v>0.02</v>
      </c>
      <c r="N3" s="16">
        <v>0.01</v>
      </c>
      <c r="O3" s="16">
        <v>0</v>
      </c>
    </row>
    <row r="4" spans="1:15" x14ac:dyDescent="0.25">
      <c r="A4" s="6" t="s">
        <v>51</v>
      </c>
      <c r="B4" s="6">
        <f>Laskuri!B20</f>
        <v>200</v>
      </c>
      <c r="F4" s="17" t="s">
        <v>18</v>
      </c>
      <c r="G4" s="10">
        <f>'8 % korko'!$H$14</f>
        <v>-2110.8136728739137</v>
      </c>
      <c r="H4" s="10">
        <f>'7 % korko'!$H$14</f>
        <v>-2048.0967244603303</v>
      </c>
      <c r="I4" s="10">
        <f>'6 % korko'!$H$14</f>
        <v>-1976.5742498326592</v>
      </c>
      <c r="J4" s="10">
        <f>'5 % korko'!$H$14</f>
        <v>-1894.7589457118097</v>
      </c>
      <c r="K4" s="10">
        <f>'4 % korko'!$H$14</f>
        <v>-1800.8775631974127</v>
      </c>
      <c r="L4" s="10">
        <f>'3 % korko'!$H$14</f>
        <v>-1692.8105606872862</v>
      </c>
      <c r="M4" s="10">
        <f>'2 % korko'!$H$14</f>
        <v>-1568.0180872546616</v>
      </c>
      <c r="N4" s="10">
        <f>'1 % korko'!$H$14</f>
        <v>-1423.4490247295225</v>
      </c>
      <c r="O4" s="10">
        <f>'0 % korko'!$H$14</f>
        <v>-1255.4289999999978</v>
      </c>
    </row>
    <row r="5" spans="1:15" x14ac:dyDescent="0.25">
      <c r="A5" s="6" t="s">
        <v>52</v>
      </c>
      <c r="B5" s="6">
        <f>Laskuri!B21</f>
        <v>160</v>
      </c>
      <c r="F5" s="17" t="s">
        <v>20</v>
      </c>
      <c r="G5" s="10">
        <f>'8 % korko'!$H$29</f>
        <v>-2513.5741352448208</v>
      </c>
      <c r="H5" s="10">
        <f>'7 % korko'!$H$29</f>
        <v>-2465.2954283143577</v>
      </c>
      <c r="I5" s="10">
        <f>'6 % korko'!$H$29</f>
        <v>-2409.8380969072896</v>
      </c>
      <c r="J5" s="10">
        <f>'5 % korko'!$H$29</f>
        <v>-2345.9597746970749</v>
      </c>
      <c r="K5" s="10">
        <f>'4 % korko'!$H$29</f>
        <v>-2272.1752173964019</v>
      </c>
      <c r="L5" s="10">
        <f>'3 % korko'!$H$29</f>
        <v>-2186.7044136581158</v>
      </c>
      <c r="M5" s="10">
        <f>'2 % korko'!$H$29</f>
        <v>-2087.4088419863451</v>
      </c>
      <c r="N5" s="10">
        <f>'1 % korko'!$H$29</f>
        <v>-1971.7130225056717</v>
      </c>
      <c r="O5" s="10">
        <f>'0 % korko'!$H$29</f>
        <v>-1836.5077999999971</v>
      </c>
    </row>
    <row r="6" spans="1:15" x14ac:dyDescent="0.25">
      <c r="A6" s="6" t="s">
        <v>11</v>
      </c>
      <c r="B6" s="6">
        <f>Laskuri!B23</f>
        <v>300</v>
      </c>
      <c r="F6" s="6" t="s">
        <v>53</v>
      </c>
      <c r="H6" s="10" t="e">
        <f>'7 % korko'!$G$39</f>
        <v>#REF!</v>
      </c>
      <c r="I6" s="10" t="e">
        <f>'6 % korko'!$G$39</f>
        <v>#REF!</v>
      </c>
      <c r="J6" s="10" t="e">
        <f>'5 % korko'!$G$39</f>
        <v>#REF!</v>
      </c>
      <c r="K6" s="10" t="e">
        <f>'4 % korko'!$G$39</f>
        <v>#REF!</v>
      </c>
      <c r="L6" s="10" t="e">
        <f>'3 % korko'!$G$39</f>
        <v>#REF!</v>
      </c>
      <c r="M6" s="10" t="e">
        <f>'2 % korko'!$G$39</f>
        <v>#REF!</v>
      </c>
      <c r="N6" s="10" t="e">
        <f>'1 % korko'!$G$39</f>
        <v>#REF!</v>
      </c>
      <c r="O6" s="10" t="e">
        <f>'0 % korko'!$G$39</f>
        <v>#REF!</v>
      </c>
    </row>
    <row r="7" spans="1:15" x14ac:dyDescent="0.25">
      <c r="A7" s="6" t="s">
        <v>125</v>
      </c>
      <c r="B7" s="6">
        <f>Laskuri!B22</f>
        <v>206</v>
      </c>
      <c r="F7" s="1" t="s">
        <v>126</v>
      </c>
      <c r="G7" s="10">
        <f>'8 % korko'!$G$57</f>
        <v>1515.1181634551451</v>
      </c>
      <c r="H7" s="10">
        <f>'7 % korko'!$G$57</f>
        <v>1663.3208670777221</v>
      </c>
      <c r="I7" s="10">
        <f>'6 % korko'!$G$57</f>
        <v>1822.6258232436205</v>
      </c>
      <c r="J7" s="10">
        <f>'5 % korko'!$G$57</f>
        <v>1994.0665304733554</v>
      </c>
      <c r="K7" s="10">
        <f>'4 % korko'!$G$57</f>
        <v>2178.7892813212493</v>
      </c>
      <c r="L7" s="10">
        <f>'3 % korko'!$G$57</f>
        <v>2378.0671429156864</v>
      </c>
      <c r="M7" s="10">
        <f>'2 % korko'!$G$57</f>
        <v>2593.3158677727183</v>
      </c>
      <c r="N7" s="10">
        <f>'1 % korko'!$G$57</f>
        <v>2826.1120279535248</v>
      </c>
      <c r="O7" s="10">
        <f>'0 % korko'!$G$57</f>
        <v>3078.2137141179246</v>
      </c>
    </row>
    <row r="8" spans="1:15" x14ac:dyDescent="0.25">
      <c r="F8" s="1" t="s">
        <v>127</v>
      </c>
      <c r="G8" s="10">
        <f>'8 % korko'!$G$73</f>
        <v>-115.02243725401075</v>
      </c>
      <c r="H8" s="10">
        <f>'7 % korko'!$G$73</f>
        <v>-19.84798109648267</v>
      </c>
      <c r="I8" s="10">
        <f>'6 % korko'!$G$73</f>
        <v>83.549862304765099</v>
      </c>
      <c r="J8" s="10">
        <f>'5 % korko'!$G$73</f>
        <v>196.03948609165633</v>
      </c>
      <c r="K8" s="10">
        <f>'4 % korko'!$G$73</f>
        <v>318.59357175461867</v>
      </c>
      <c r="L8" s="10">
        <f>'3 % korko'!$G$73</f>
        <v>452.30296033349407</v>
      </c>
      <c r="M8" s="10">
        <f>'2 % korko'!$G$73</f>
        <v>598.39254190143924</v>
      </c>
      <c r="N8" s="10">
        <f>'1 % korko'!$G$73</f>
        <v>758.23948217715565</v>
      </c>
      <c r="O8" s="10">
        <f>'0 % korko'!$G$73</f>
        <v>933.39415950199702</v>
      </c>
    </row>
    <row r="9" spans="1:15" ht="105" x14ac:dyDescent="0.25">
      <c r="A9" s="6" t="s">
        <v>9</v>
      </c>
      <c r="B9" s="15" t="s">
        <v>54</v>
      </c>
      <c r="F9" s="1" t="s">
        <v>23</v>
      </c>
      <c r="G9" s="10">
        <f>'8 % korko'!$G$89</f>
        <v>790.28565119421239</v>
      </c>
      <c r="H9" s="10">
        <f>'7 % korko'!$G$89</f>
        <v>884.47769222880584</v>
      </c>
      <c r="I9" s="10">
        <f>'6 % korko'!$G$89</f>
        <v>985.53393682413298</v>
      </c>
      <c r="J9" s="10">
        <f>'5 % korko'!$G$89</f>
        <v>1094.0880920518334</v>
      </c>
      <c r="K9" s="10">
        <f>'4 % korko'!$G$89</f>
        <v>1210.8427633447991</v>
      </c>
      <c r="L9" s="10">
        <f>'3 % korko'!$G$89</f>
        <v>1336.5779734997022</v>
      </c>
      <c r="M9" s="10">
        <f>'2 % korko'!$G$89</f>
        <v>1472.1608556837195</v>
      </c>
      <c r="N9" s="10">
        <f>'1 % korko'!$G$89</f>
        <v>1618.5566984125267</v>
      </c>
      <c r="O9" s="10">
        <f>'0 % korko'!$G$89</f>
        <v>1776.8415498667146</v>
      </c>
    </row>
    <row r="10" spans="1:15" x14ac:dyDescent="0.25">
      <c r="A10" s="6" t="s">
        <v>55</v>
      </c>
      <c r="B10" s="6">
        <f>Laskuri!B13*0.964*0.93</f>
        <v>4.4826000000000006</v>
      </c>
      <c r="C10" s="6" t="s">
        <v>56</v>
      </c>
      <c r="F10" s="1" t="s">
        <v>24</v>
      </c>
      <c r="G10" s="10">
        <f>'8 % korko'!$G$105</f>
        <v>-45.671403606603292</v>
      </c>
      <c r="H10" s="10">
        <f>'7 % korko'!$G$105</f>
        <v>20.271851805492872</v>
      </c>
      <c r="I10" s="10">
        <f>'6 % korko'!$G$105</f>
        <v>91.153676368748052</v>
      </c>
      <c r="J10" s="10">
        <f>'5 % korko'!$G$105</f>
        <v>167.43218220346398</v>
      </c>
      <c r="K10" s="10">
        <f>'4 % korko'!$G$105</f>
        <v>249.6152878312015</v>
      </c>
      <c r="L10" s="10">
        <f>'3 % korko'!$G$105</f>
        <v>338.26686941954279</v>
      </c>
      <c r="M10" s="10">
        <f>'2 % korko'!$G$105</f>
        <v>434.01375855465017</v>
      </c>
      <c r="N10" s="10">
        <f>'1 % korko'!$G$105</f>
        <v>537.55371469106626</v>
      </c>
      <c r="O10" s="10">
        <f>'0 % korko'!$G$105</f>
        <v>649.66452157134086</v>
      </c>
    </row>
    <row r="11" spans="1:15" x14ac:dyDescent="0.25">
      <c r="A11" s="6" t="s">
        <v>57</v>
      </c>
      <c r="B11" s="18" t="e">
        <f>Laskuri!#REF!</f>
        <v>#REF!</v>
      </c>
      <c r="C11" s="6" t="s">
        <v>58</v>
      </c>
      <c r="F11" s="1" t="s">
        <v>25</v>
      </c>
      <c r="G11" s="10">
        <f>'8 % korko'!$G$121</f>
        <v>-1444.8346055192922</v>
      </c>
      <c r="H11" s="10">
        <f>'7 % korko'!$G$121</f>
        <v>-1452.6324843219877</v>
      </c>
      <c r="I11" s="10">
        <f>'6 % korko'!$G$121</f>
        <v>-1461.0172018648577</v>
      </c>
      <c r="J11" s="10">
        <f>'5 % korko'!$G$121</f>
        <v>-1470.0464487309564</v>
      </c>
      <c r="K11" s="10">
        <f>'4 % korko'!$G$121</f>
        <v>-1479.7845740987036</v>
      </c>
      <c r="L11" s="10">
        <f>'3 % korko'!$G$121</f>
        <v>-1490.3034530359319</v>
      </c>
      <c r="M11" s="10">
        <f>'2 % korko'!$G$121</f>
        <v>-1501.6834787852549</v>
      </c>
      <c r="N11" s="10">
        <f>'1 % korko'!$G$121</f>
        <v>-1514.014699734093</v>
      </c>
      <c r="O11" s="10">
        <f>'0 % korko'!$G$121</f>
        <v>-1527.3981241270862</v>
      </c>
    </row>
    <row r="12" spans="1:15" x14ac:dyDescent="0.25">
      <c r="A12" s="6" t="s">
        <v>59</v>
      </c>
      <c r="B12" s="6">
        <f>Laskuri!B14</f>
        <v>6</v>
      </c>
      <c r="F12" s="1" t="s">
        <v>11</v>
      </c>
      <c r="G12" s="10">
        <f>'8 % korko'!$G$137</f>
        <v>-374.13431596995929</v>
      </c>
      <c r="H12" s="10">
        <f>'7 % korko'!$G$137</f>
        <v>-300.70852804220408</v>
      </c>
      <c r="I12" s="10">
        <f>'6 % korko'!$G$137</f>
        <v>-220.21269451378754</v>
      </c>
      <c r="J12" s="10">
        <f>'5 % korko'!$G$137</f>
        <v>-131.87529051691786</v>
      </c>
      <c r="K12" s="10">
        <f>'4 % korko'!$G$137</f>
        <v>-34.830353511427347</v>
      </c>
      <c r="L12" s="10">
        <f>'3 % korko'!$G$137</f>
        <v>71.895290443982731</v>
      </c>
      <c r="M12" s="10">
        <f>'2 % korko'!$G$137</f>
        <v>189.39669001627124</v>
      </c>
      <c r="N12" s="10">
        <f>'1 % korko'!$G$137</f>
        <v>318.90762495019942</v>
      </c>
      <c r="O12" s="10">
        <f>'0 % korko'!$G$137</f>
        <v>461.82001146953985</v>
      </c>
    </row>
    <row r="13" spans="1:15" x14ac:dyDescent="0.25">
      <c r="A13" s="6" t="s">
        <v>11</v>
      </c>
      <c r="B13" s="6">
        <f>Laskuri!B15</f>
        <v>5</v>
      </c>
    </row>
    <row r="15" spans="1:15" x14ac:dyDescent="0.25">
      <c r="A15" s="6" t="s">
        <v>60</v>
      </c>
      <c r="F15" s="9" t="s">
        <v>17</v>
      </c>
    </row>
    <row r="16" spans="1:15" x14ac:dyDescent="0.25">
      <c r="A16" s="6" t="s">
        <v>61</v>
      </c>
      <c r="B16" s="10">
        <f>Laskuri!B38</f>
        <v>150</v>
      </c>
      <c r="C16" s="6" t="s">
        <v>62</v>
      </c>
      <c r="F16" s="6" t="s">
        <v>50</v>
      </c>
      <c r="G16" s="16">
        <v>0.08</v>
      </c>
      <c r="H16" s="16">
        <v>7.0000000000000007E-2</v>
      </c>
      <c r="I16" s="16">
        <v>0.06</v>
      </c>
      <c r="J16" s="16">
        <v>0.05</v>
      </c>
      <c r="K16" s="16">
        <v>0.04</v>
      </c>
      <c r="L16" s="16">
        <v>0.03</v>
      </c>
      <c r="M16" s="16">
        <v>0.02</v>
      </c>
      <c r="N16" s="16">
        <v>0.01</v>
      </c>
    </row>
    <row r="17" spans="1:14" x14ac:dyDescent="0.25">
      <c r="A17" s="6" t="s">
        <v>13</v>
      </c>
      <c r="B17" s="13">
        <f>Laskuri!B25</f>
        <v>0.05</v>
      </c>
      <c r="C17" s="10"/>
      <c r="F17" s="17" t="s">
        <v>18</v>
      </c>
      <c r="G17" s="10">
        <f>'8 % korko'!$I$14</f>
        <v>-2586.5928784201619</v>
      </c>
      <c r="H17" s="10">
        <f>'7 % korko'!$I$14</f>
        <v>-2645.1395430671473</v>
      </c>
      <c r="I17" s="10">
        <f>'6 % korko'!$I$14</f>
        <v>-2735.7622058983438</v>
      </c>
      <c r="J17" s="10">
        <f>'5 % korko'!$I$14</f>
        <v>-2878.9160139497385</v>
      </c>
      <c r="K17" s="10">
        <f>'4 % korko'!$I$14</f>
        <v>-3115.464657238967</v>
      </c>
      <c r="L17" s="10">
        <f>'3 % korko'!$I$14</f>
        <v>-3540.648418634325</v>
      </c>
      <c r="M17" s="10">
        <f>'2 % korko'!$I$14</f>
        <v>-4439.9530166749846</v>
      </c>
      <c r="N17" s="10">
        <f>'1 % korko'!$I$14</f>
        <v>-7240.1910461839007</v>
      </c>
    </row>
    <row r="18" spans="1:14" x14ac:dyDescent="0.25">
      <c r="F18" s="17" t="s">
        <v>20</v>
      </c>
      <c r="G18" s="10">
        <f>'8 % korko'!$I$29</f>
        <v>-3080.1358931664136</v>
      </c>
      <c r="H18" s="10">
        <f>'7 % korko'!$I$29</f>
        <v>-3183.956277502105</v>
      </c>
      <c r="I18" s="10">
        <f>'6 % korko'!$I$29</f>
        <v>-3335.4395810889005</v>
      </c>
      <c r="J18" s="10">
        <f>'5 % korko'!$I$29</f>
        <v>-3564.4751427312044</v>
      </c>
      <c r="K18" s="10">
        <f>'4 % korko'!$I$29</f>
        <v>-3930.7955907254359</v>
      </c>
      <c r="L18" s="10">
        <f>'3 % korko'!$I$29</f>
        <v>-4573.6668378863897</v>
      </c>
      <c r="M18" s="10">
        <f>'2 % korko'!$I$29</f>
        <v>-5910.6443097464708</v>
      </c>
      <c r="N18" s="10">
        <f>'1 % korko'!$I$29</f>
        <v>-10028.865609642988</v>
      </c>
    </row>
    <row r="19" spans="1:14" x14ac:dyDescent="0.25">
      <c r="A19" s="6" t="s">
        <v>63</v>
      </c>
      <c r="B19" s="10" t="s">
        <v>37</v>
      </c>
      <c r="F19" s="6" t="s">
        <v>53</v>
      </c>
      <c r="H19" s="10" t="e">
        <f>'7 % korko'!$H$39</f>
        <v>#REF!</v>
      </c>
      <c r="I19" s="10" t="e">
        <f>'6 % korko'!$H$39</f>
        <v>#REF!</v>
      </c>
      <c r="J19" s="10" t="e">
        <f>'5 % korko'!$H$39</f>
        <v>#REF!</v>
      </c>
      <c r="K19" s="10" t="e">
        <f>'4 % korko'!$H$39</f>
        <v>#REF!</v>
      </c>
      <c r="L19" s="10" t="e">
        <f>'3 % korko'!$H$39</f>
        <v>#REF!</v>
      </c>
      <c r="M19" s="10" t="e">
        <f>'2 % korko'!$H$39</f>
        <v>#REF!</v>
      </c>
      <c r="N19" s="10" t="e">
        <f>'1 % korko'!$H$39</f>
        <v>#REF!</v>
      </c>
    </row>
    <row r="20" spans="1:14" x14ac:dyDescent="0.25">
      <c r="A20" s="6">
        <f>_xlfn.XLOOKUP(B20,'Hieskoivun laskelmat'!$I$4:$I$19,'Hieskoivun laskelmat'!$H$4:$H$19)</f>
        <v>26</v>
      </c>
      <c r="B20" s="10">
        <f>MAX('Hieskoivun laskelmat'!$I$4:$I$19)</f>
        <v>1040.1097018181063</v>
      </c>
      <c r="F20" s="1" t="s">
        <v>126</v>
      </c>
      <c r="G20" s="10">
        <f>'8 % korko'!$H$57</f>
        <v>2822.4660651921508</v>
      </c>
      <c r="H20" s="10">
        <f>'7 % korko'!$H$57</f>
        <v>3383.1353041263014</v>
      </c>
      <c r="I20" s="10">
        <f>'6 % korko'!$H$57</f>
        <v>4127.2741533976086</v>
      </c>
      <c r="J20" s="10">
        <f>'5 % korko'!$H$57</f>
        <v>5164.8147696358919</v>
      </c>
      <c r="K20" s="10">
        <f>'4 % korko'!$H$57</f>
        <v>6715.6246997618928</v>
      </c>
      <c r="L20" s="10">
        <f>'3 % korko'!$H$57</f>
        <v>9292.7338635030101</v>
      </c>
      <c r="M20" s="10">
        <f>'2 % korko'!$H$57</f>
        <v>14435.24256085832</v>
      </c>
      <c r="N20" s="10">
        <f>'1 % korko'!$H$57</f>
        <v>29838.677647757442</v>
      </c>
    </row>
    <row r="21" spans="1:14" x14ac:dyDescent="0.25">
      <c r="A21" s="6" t="s">
        <v>64</v>
      </c>
      <c r="B21" s="10" t="s">
        <v>17</v>
      </c>
      <c r="F21" s="1" t="s">
        <v>127</v>
      </c>
      <c r="G21" s="10">
        <f>'8 % korko'!$H$73</f>
        <v>-214.27168765820812</v>
      </c>
      <c r="H21" s="10">
        <f>'7 % korko'!$H$73</f>
        <v>-40.370085467102079</v>
      </c>
      <c r="I21" s="10">
        <f>'6 % korko'!$H$73</f>
        <v>189.19582001571047</v>
      </c>
      <c r="J21" s="10">
        <f>'5 % korko'!$H$73</f>
        <v>507.76020645492986</v>
      </c>
      <c r="K21" s="10">
        <f>'4 % korko'!$H$73</f>
        <v>981.99255797844899</v>
      </c>
      <c r="L21" s="10">
        <f>'3 % korko'!$H$73</f>
        <v>1767.4568392969634</v>
      </c>
      <c r="M21" s="10">
        <f>'2 % korko'!$H$73</f>
        <v>3330.8481995194006</v>
      </c>
      <c r="N21" s="10">
        <f>'1 % korko'!$H$73</f>
        <v>8005.6499051348774</v>
      </c>
    </row>
    <row r="22" spans="1:14" x14ac:dyDescent="0.25">
      <c r="A22" s="6">
        <f>_xlfn.XLOOKUP(B22,'Hieskoivun laskelmat'!$J$4:$J$19,'Hieskoivun laskelmat'!$H$4:$H$19)</f>
        <v>22</v>
      </c>
      <c r="B22" s="10">
        <f>MAX('Hieskoivun laskelmat'!$J$4:$J$19)</f>
        <v>1683.6532980169932</v>
      </c>
      <c r="F22" s="1" t="s">
        <v>23</v>
      </c>
      <c r="G22" s="10">
        <f>'8 % korko'!$H$89</f>
        <v>1472.1983315263585</v>
      </c>
      <c r="H22" s="10">
        <f>'7 % korko'!$H$89</f>
        <v>1798.9960719657156</v>
      </c>
      <c r="I22" s="10">
        <f>'6 % korko'!$H$89</f>
        <v>2231.7080625531917</v>
      </c>
      <c r="J22" s="10">
        <f>'5 % korko'!$H$89</f>
        <v>2833.788266718801</v>
      </c>
      <c r="K22" s="10">
        <f>'4 % korko'!$H$89</f>
        <v>3732.148693202299</v>
      </c>
      <c r="L22" s="10">
        <f>'3 % korko'!$H$89</f>
        <v>5222.923765022254</v>
      </c>
      <c r="M22" s="10">
        <f>'2 % korko'!$H$89</f>
        <v>8194.5278261250733</v>
      </c>
      <c r="N22" s="10">
        <f>'1 % korko'!$H$89</f>
        <v>17089.05772342021</v>
      </c>
    </row>
    <row r="23" spans="1:14" x14ac:dyDescent="0.25">
      <c r="F23" s="1" t="s">
        <v>24</v>
      </c>
      <c r="G23" s="10">
        <f>'8 % korko'!$H$105</f>
        <v>-85.07982409462312</v>
      </c>
      <c r="H23" s="10">
        <f>'7 % korko'!$H$105</f>
        <v>41.232223367504226</v>
      </c>
      <c r="I23" s="10">
        <f>'6 % korko'!$H$105</f>
        <v>206.41439820839051</v>
      </c>
      <c r="J23" s="10">
        <f>'5 % korko'!$H$105</f>
        <v>433.66467183596978</v>
      </c>
      <c r="K23" s="10">
        <f>'4 % korko'!$H$105</f>
        <v>769.38261389869001</v>
      </c>
      <c r="L23" s="10">
        <f>'3 % korko'!$H$105</f>
        <v>1321.8398823264786</v>
      </c>
      <c r="M23" s="10">
        <f>'2 % korko'!$H$105</f>
        <v>2415.8622392832458</v>
      </c>
      <c r="N23" s="10">
        <f>'1 % korko'!$H$105</f>
        <v>5675.6037454878533</v>
      </c>
    </row>
    <row r="24" spans="1:14" x14ac:dyDescent="0.25">
      <c r="A24" s="6" t="s">
        <v>65</v>
      </c>
      <c r="F24" s="1" t="s">
        <v>25</v>
      </c>
      <c r="G24" s="10">
        <f>'8 % korko'!$H$121</f>
        <v>-2691.5370314047577</v>
      </c>
      <c r="H24" s="10">
        <f>'7 % korko'!$H$121</f>
        <v>-2954.6026499773207</v>
      </c>
      <c r="I24" s="10">
        <f>'6 % korko'!$H$121</f>
        <v>-3308.4237357039378</v>
      </c>
      <c r="J24" s="10">
        <f>'5 % korko'!$H$121</f>
        <v>-3807.5548104476279</v>
      </c>
      <c r="K24" s="10">
        <f>'4 % korko'!$H$121</f>
        <v>-4561.1009386449414</v>
      </c>
      <c r="L24" s="10">
        <f>'3 % korko'!$H$121</f>
        <v>-5823.6342931606969</v>
      </c>
      <c r="M24" s="10">
        <f>'2 % korko'!$H$121</f>
        <v>-8358.8603822935893</v>
      </c>
      <c r="N24" s="10">
        <f>'1 % korko'!$H$121</f>
        <v>-15985.28159269233</v>
      </c>
    </row>
    <row r="25" spans="1:14" x14ac:dyDescent="0.25">
      <c r="A25" s="6" t="s">
        <v>66</v>
      </c>
      <c r="B25" s="6" t="s">
        <v>67</v>
      </c>
      <c r="F25" s="1" t="s">
        <v>11</v>
      </c>
      <c r="G25" s="10">
        <f>'8 % korko'!$H$137</f>
        <v>-696.96307266291319</v>
      </c>
      <c r="H25" s="10">
        <f>'7 % korko'!$H$137</f>
        <v>-611.63041816386794</v>
      </c>
      <c r="I25" s="10">
        <f>'6 % korko'!$H$137</f>
        <v>-498.66415296328978</v>
      </c>
      <c r="J25" s="10">
        <f>'5 % korko'!$H$137</f>
        <v>-341.56906893679115</v>
      </c>
      <c r="K25" s="10">
        <f>'4 % korko'!$H$137</f>
        <v>-107.35667939440887</v>
      </c>
      <c r="L25" s="10">
        <f>'3 % korko'!$H$137</f>
        <v>280.94404404243943</v>
      </c>
      <c r="M25" s="10">
        <f>'2 % korko'!$H$137</f>
        <v>1054.2437944347544</v>
      </c>
      <c r="N25" s="10">
        <f>'1 % korko'!$H$137</f>
        <v>3367.092927024411</v>
      </c>
    </row>
    <row r="26" spans="1:14" x14ac:dyDescent="0.25">
      <c r="A26" s="6">
        <f>Laskuri!A45</f>
        <v>30</v>
      </c>
      <c r="B26" s="10">
        <f>Laskuri!B45</f>
        <v>200</v>
      </c>
    </row>
    <row r="27" spans="1:14" x14ac:dyDescent="0.25">
      <c r="A27" s="6" t="s">
        <v>37</v>
      </c>
      <c r="B27" s="6" t="s">
        <v>17</v>
      </c>
      <c r="F27" s="9" t="s">
        <v>68</v>
      </c>
    </row>
    <row r="28" spans="1:14" x14ac:dyDescent="0.25">
      <c r="A28" s="19">
        <f ca="1">Laskuri!A47</f>
        <v>3074.4902053765654</v>
      </c>
      <c r="B28" s="20">
        <f ca="1">Laskuri!B47</f>
        <v>3999.9999999999959</v>
      </c>
      <c r="F28" s="6" t="s">
        <v>50</v>
      </c>
      <c r="G28" s="16">
        <v>7.0000000000000007E-2</v>
      </c>
      <c r="H28" s="16">
        <v>0.06</v>
      </c>
      <c r="I28" s="16">
        <v>0.05</v>
      </c>
      <c r="J28" s="16">
        <v>0.04</v>
      </c>
      <c r="K28" s="16">
        <v>0.03</v>
      </c>
      <c r="L28" s="16">
        <v>0.02</v>
      </c>
      <c r="M28" s="16">
        <v>0.01</v>
      </c>
      <c r="N28" s="16">
        <v>0</v>
      </c>
    </row>
    <row r="29" spans="1:14" x14ac:dyDescent="0.25">
      <c r="F29" s="17" t="s">
        <v>18</v>
      </c>
      <c r="G29" s="10">
        <f>H4/(1+G$28)^'7 % korko'!$A$12</f>
        <v>-462.28239427145542</v>
      </c>
      <c r="H29" s="10">
        <f>I4/(1+H$28)^'7 % korko'!$A$12</f>
        <v>-548.50942874611883</v>
      </c>
      <c r="I29" s="10">
        <f>J4/(1+I$28)^'7 % korko'!$A$12</f>
        <v>-647.72310133180576</v>
      </c>
      <c r="J29" s="10">
        <f>K4/(1+J$28)^'7 % korko'!$A$12</f>
        <v>-759.88998848935967</v>
      </c>
      <c r="K29" s="10">
        <f>L4/(1+K$28)^'7 % korko'!$A$12</f>
        <v>-883.46513703753965</v>
      </c>
      <c r="L29" s="10">
        <f>M4/(1+L$28)^'7 % korko'!$A$12</f>
        <v>-1014.2553080712385</v>
      </c>
      <c r="M29" s="10">
        <f>N4/(1+M$28)^'7 % korko'!$A$12</f>
        <v>-1143.5935467347281</v>
      </c>
      <c r="N29" s="10">
        <f>O4/(1+N$28)^'7 % korko'!$A$12</f>
        <v>-1255.4289999999978</v>
      </c>
    </row>
    <row r="30" spans="1:14" x14ac:dyDescent="0.25">
      <c r="A30" s="6" t="s">
        <v>69</v>
      </c>
      <c r="F30" s="17" t="s">
        <v>20</v>
      </c>
      <c r="G30" s="10">
        <f>H5/(1+G$28)^'7 % korko'!$A$27</f>
        <v>-556.44963422708145</v>
      </c>
      <c r="H30" s="10">
        <f>I5/(1+H$28)^'7 % korko'!$A$27</f>
        <v>-668.74235461539547</v>
      </c>
      <c r="I30" s="10">
        <f>J5/(1+I$28)^'7 % korko'!$A$27</f>
        <v>-801.96604655459555</v>
      </c>
      <c r="J30" s="10">
        <f>K5/(1+J$28)^'7 % korko'!$A$27</f>
        <v>-958.75657239441625</v>
      </c>
      <c r="K30" s="10">
        <f>L5/(1+K$28)^'7 % korko'!$A$27</f>
        <v>-1141.2246351350218</v>
      </c>
      <c r="L30" s="10">
        <f>M5/(1+L$28)^'7 % korko'!$A$27</f>
        <v>-1350.2175231959802</v>
      </c>
      <c r="M30" s="10">
        <f>N5/(1+M$28)^'7 % korko'!$A$27</f>
        <v>-1584.0667627551793</v>
      </c>
      <c r="N30" s="10">
        <f>O5/(1+N$28)^'7 % korko'!$A$27</f>
        <v>-1836.5077999999971</v>
      </c>
    </row>
    <row r="31" spans="1:14" x14ac:dyDescent="0.25">
      <c r="C31" s="6" t="s">
        <v>70</v>
      </c>
      <c r="F31" s="6" t="s">
        <v>53</v>
      </c>
      <c r="G31" s="10" t="e">
        <f>H6/(1+G$28)^'7 % korko'!$A$27</f>
        <v>#REF!</v>
      </c>
      <c r="H31" s="10" t="e">
        <f>I6/(1+H$28)^'7 % korko'!$A$27</f>
        <v>#REF!</v>
      </c>
      <c r="I31" s="10" t="e">
        <f>J6/(1+I$28)^'7 % korko'!$A$27</f>
        <v>#REF!</v>
      </c>
      <c r="J31" s="10" t="e">
        <f>K6/(1+J$28)^'7 % korko'!$A$27</f>
        <v>#REF!</v>
      </c>
      <c r="K31" s="10" t="e">
        <f>L6/(1+K$28)^'7 % korko'!$A$27</f>
        <v>#REF!</v>
      </c>
      <c r="L31" s="10" t="e">
        <f>M6/(1+L$28)^'7 % korko'!$A$27</f>
        <v>#REF!</v>
      </c>
      <c r="M31" s="10" t="e">
        <f>N6/(1+M$28)^'7 % korko'!$A$27</f>
        <v>#REF!</v>
      </c>
      <c r="N31" s="10" t="e">
        <f>O6/(1+N$28)^'7 % korko'!$A$27</f>
        <v>#REF!</v>
      </c>
    </row>
    <row r="32" spans="1:14" x14ac:dyDescent="0.25">
      <c r="F32" s="1" t="s">
        <v>126</v>
      </c>
      <c r="G32" s="10">
        <f>H7/(1+G$28)^'7 % korko'!$A$27</f>
        <v>375.43341761701839</v>
      </c>
      <c r="H32" s="10">
        <f>I7/(1+H$28)^'7 % korko'!$A$27</f>
        <v>505.78795570665847</v>
      </c>
      <c r="I32" s="10">
        <f>J7/(1+I$28)^'7 % korko'!$A$27</f>
        <v>681.6713863804639</v>
      </c>
      <c r="J32" s="10">
        <f>K7/(1+J$28)^'7 % korko'!$A$27</f>
        <v>919.35187363009675</v>
      </c>
      <c r="K32" s="10">
        <f>L7/(1+K$28)^'7 % korko'!$A$27</f>
        <v>1241.0954084829725</v>
      </c>
      <c r="L32" s="10">
        <f>M7/(1+L$28)^'7 % korko'!$A$27</f>
        <v>1677.4579360873568</v>
      </c>
      <c r="M32" s="10">
        <f>N7/(1+M$28)^'7 % korko'!$A$27</f>
        <v>2270.4876826419281</v>
      </c>
      <c r="N32" s="10">
        <f>O7/(1+N$28)^'7 % korko'!$A$27</f>
        <v>3078.2137141179246</v>
      </c>
    </row>
    <row r="33" spans="1:14" x14ac:dyDescent="0.25">
      <c r="A33" s="6" t="s">
        <v>71</v>
      </c>
      <c r="F33" s="1" t="s">
        <v>126</v>
      </c>
      <c r="G33" s="10">
        <f>H8/(1+G$28)^'7 % korko'!$A$27</f>
        <v>-4.479950635707544</v>
      </c>
      <c r="H33" s="10">
        <f>I8/(1+H$28)^'7 % korko'!$A$27</f>
        <v>23.185512635552886</v>
      </c>
      <c r="I33" s="10">
        <f>J8/(1+I$28)^'7 % korko'!$A$27</f>
        <v>67.016073048320322</v>
      </c>
      <c r="J33" s="10">
        <f>K8/(1+J$28)^'7 % korko'!$A$27</f>
        <v>134.43227375411669</v>
      </c>
      <c r="K33" s="10">
        <f>L8/(1+K$28)^'7 % korko'!$A$27</f>
        <v>236.05352312504411</v>
      </c>
      <c r="L33" s="10">
        <f>M8/(1+L$28)^'7 % korko'!$A$27</f>
        <v>387.06365498397815</v>
      </c>
      <c r="M33" s="10">
        <f>N8/(1+M$28)^'7 % korko'!$A$27</f>
        <v>609.16672366405464</v>
      </c>
      <c r="N33" s="10">
        <f>O8/(1+N$28)^'7 % korko'!$A$27</f>
        <v>933.39415950199702</v>
      </c>
    </row>
    <row r="34" spans="1:14" x14ac:dyDescent="0.25">
      <c r="A34" s="6" t="s">
        <v>37</v>
      </c>
      <c r="B34" s="6" t="s">
        <v>17</v>
      </c>
      <c r="F34" s="6" t="s">
        <v>72</v>
      </c>
      <c r="G34" s="10">
        <f>H9/(1+G$28)^'7 % korko'!$A$27</f>
        <v>199.63825944351458</v>
      </c>
      <c r="H34" s="10">
        <f>I9/(1+H$28)^'7 % korko'!$A$27</f>
        <v>273.49069064472781</v>
      </c>
      <c r="I34" s="10">
        <f>J9/(1+I$28)^'7 % korko'!$A$27</f>
        <v>374.01387322532736</v>
      </c>
      <c r="J34" s="10">
        <f>K9/(1+J$28)^'7 % korko'!$A$27</f>
        <v>510.92162638023905</v>
      </c>
      <c r="K34" s="10">
        <f>L9/(1+K$28)^'7 % korko'!$A$27</f>
        <v>697.55002121433768</v>
      </c>
      <c r="L34" s="10">
        <f>M9/(1+L$28)^'7 % korko'!$A$27</f>
        <v>952.25110880331772</v>
      </c>
      <c r="M34" s="10">
        <f>N9/(1+M$28)^'7 % korko'!$A$27</f>
        <v>1300.3423116472654</v>
      </c>
      <c r="N34" s="10">
        <f>O9/(1+N$28)^'7 % korko'!$A$27</f>
        <v>1776.8415498667146</v>
      </c>
    </row>
    <row r="35" spans="1:14" x14ac:dyDescent="0.25">
      <c r="A35" s="19">
        <f>NPV(Työkaluvälilehti!B17,'Aurinkovoima ja vettäminen'!$D$2:$D$61)</f>
        <v>4381.1485426616055</v>
      </c>
      <c r="B35" s="20">
        <f>A35/(1-EXP(-B17*30))</f>
        <v>5639.4885190789146</v>
      </c>
      <c r="C35" s="6" t="s">
        <v>73</v>
      </c>
      <c r="F35" s="6" t="s">
        <v>74</v>
      </c>
      <c r="G35" s="10">
        <f>H10/(1+G$28)^'7 % korko'!$A$27</f>
        <v>4.5756238350650635</v>
      </c>
      <c r="H35" s="10">
        <f>I10/(1+H$28)^'7 % korko'!$A$27</f>
        <v>25.295609794250616</v>
      </c>
      <c r="I35" s="10">
        <f>J10/(1+I$28)^'7 % korko'!$A$27</f>
        <v>57.23666990200595</v>
      </c>
      <c r="J35" s="10">
        <f>K10/(1+J$28)^'7 % korko'!$A$27</f>
        <v>105.32651529071613</v>
      </c>
      <c r="K35" s="10">
        <f>L10/(1+K$28)^'7 % korko'!$A$27</f>
        <v>176.53894244708817</v>
      </c>
      <c r="L35" s="10">
        <f>M10/(1+L$28)^'7 % korko'!$A$27</f>
        <v>280.73704121661058</v>
      </c>
      <c r="M35" s="10">
        <f>N10/(1+M$28)^'7 % korko'!$A$27</f>
        <v>431.86861521844475</v>
      </c>
      <c r="N35" s="10">
        <f>O10/(1+N$28)^'7 % korko'!$A$27</f>
        <v>649.66452157134086</v>
      </c>
    </row>
    <row r="36" spans="1:14" x14ac:dyDescent="0.25">
      <c r="A36" s="6" t="s">
        <v>75</v>
      </c>
      <c r="B36" s="10">
        <f>Laskuri!A50</f>
        <v>30</v>
      </c>
      <c r="C36" s="6" t="s">
        <v>76</v>
      </c>
      <c r="F36" s="6" t="s">
        <v>77</v>
      </c>
      <c r="G36" s="10">
        <f>H11/(1+G$28)^'7 % korko'!$A$27</f>
        <v>-327.87827587869754</v>
      </c>
      <c r="H36" s="10">
        <f>I11/(1+H$28)^'7 % korko'!$A$27</f>
        <v>-405.43972018809444</v>
      </c>
      <c r="I36" s="10">
        <f>J11/(1+I$28)^'7 % korko'!$A$27</f>
        <v>-502.53518899002376</v>
      </c>
      <c r="J36" s="10">
        <f>K11/(1+J$28)^'7 % korko'!$A$27</f>
        <v>-624.40307212341611</v>
      </c>
      <c r="K36" s="10">
        <f>L11/(1+K$28)^'7 % korko'!$A$27</f>
        <v>-777.77819617887531</v>
      </c>
      <c r="L36" s="10">
        <f>M11/(1+L$28)^'7 % korko'!$A$27</f>
        <v>-971.34749387202885</v>
      </c>
      <c r="M36" s="10">
        <f>N11/(1+M$28)^'7 % korko'!$A$27</f>
        <v>-1216.3536664802043</v>
      </c>
      <c r="N36" s="10">
        <f>O11/(1+N$28)^'7 % korko'!$A$27</f>
        <v>-1527.3981241270862</v>
      </c>
    </row>
    <row r="37" spans="1:14" x14ac:dyDescent="0.25">
      <c r="F37" s="6" t="s">
        <v>11</v>
      </c>
      <c r="G37" s="10">
        <f>H12/(1+G$28)^'7 % korko'!$A$27</f>
        <v>-67.873873660837319</v>
      </c>
      <c r="H37" s="10">
        <f>I12/(1+H$28)^'7 % korko'!$A$27</f>
        <v>-61.110145131470468</v>
      </c>
      <c r="I37" s="10">
        <f>J12/(1+I$28)^'7 % korko'!$A$27</f>
        <v>-45.081551062719178</v>
      </c>
      <c r="J37" s="10">
        <f>K12/(1+J$28)^'7 % korko'!$A$27</f>
        <v>-14.696855283091507</v>
      </c>
      <c r="K37" s="10">
        <f>L12/(1+K$28)^'7 % korko'!$A$27</f>
        <v>37.521612931489997</v>
      </c>
      <c r="L37" s="10">
        <f>M12/(1+L$28)^'7 % korko'!$A$27</f>
        <v>122.50917240148368</v>
      </c>
      <c r="M37" s="10">
        <f>N12/(1+M$28)^'7 % korko'!$A$27</f>
        <v>256.20917613600238</v>
      </c>
      <c r="N37" s="10">
        <f>O12/(1+N$28)^'7 % korko'!$A$27</f>
        <v>461.82001146953985</v>
      </c>
    </row>
  </sheetData>
  <sheetProtection selectLockedCells="1" selectUnlockedCells="1"/>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2A5C4A-83C7-4A2F-9698-FE758E8C6384}">
  <dimension ref="A1:J61"/>
  <sheetViews>
    <sheetView workbookViewId="0">
      <selection activeCell="G11" sqref="G11"/>
    </sheetView>
  </sheetViews>
  <sheetFormatPr defaultColWidth="4.7109375" defaultRowHeight="15" x14ac:dyDescent="0.25"/>
  <cols>
    <col min="1" max="4" width="4.85546875" style="6" bestFit="1" customWidth="1"/>
    <col min="5" max="6" width="4.7109375" style="6"/>
    <col min="7" max="7" width="9.42578125" style="6" bestFit="1" customWidth="1"/>
    <col min="8" max="8" width="5" style="6" bestFit="1" customWidth="1"/>
    <col min="9" max="16384" width="4.7109375" style="6"/>
  </cols>
  <sheetData>
    <row r="1" spans="1:10" x14ac:dyDescent="0.25">
      <c r="A1" s="6" t="s">
        <v>78</v>
      </c>
      <c r="B1" s="6" t="s">
        <v>79</v>
      </c>
      <c r="C1" s="6" t="s">
        <v>80</v>
      </c>
      <c r="D1" s="6" t="s">
        <v>81</v>
      </c>
    </row>
    <row r="2" spans="1:10" x14ac:dyDescent="0.25">
      <c r="A2" s="6">
        <v>1</v>
      </c>
      <c r="B2" s="6">
        <f>Työkaluvälilehti!$B$26</f>
        <v>200</v>
      </c>
      <c r="C2" s="6">
        <v>9.5</v>
      </c>
      <c r="D2" s="6">
        <f>Työkaluvälilehti!$B$36*C2</f>
        <v>285</v>
      </c>
      <c r="G2" s="6" t="s">
        <v>82</v>
      </c>
      <c r="H2" s="6" t="s">
        <v>83</v>
      </c>
    </row>
    <row r="3" spans="1:10" x14ac:dyDescent="0.25">
      <c r="A3" s="6">
        <v>2</v>
      </c>
      <c r="B3" s="6">
        <f>Työkaluvälilehti!$B$26</f>
        <v>200</v>
      </c>
      <c r="C3" s="6">
        <v>9.5</v>
      </c>
      <c r="D3" s="6">
        <f>Työkaluvälilehti!$B$36*C3</f>
        <v>285</v>
      </c>
      <c r="F3" s="6" t="s">
        <v>84</v>
      </c>
      <c r="G3" s="14">
        <f>NPV(Työkaluvälilehti!B17,B2:B31)</f>
        <v>3074.4902053765654</v>
      </c>
      <c r="H3" s="6">
        <f>G3/(1-EXP(-Työkaluvälilehti!B17*Työkaluvälilehti!A26))</f>
        <v>3957.5358028623968</v>
      </c>
      <c r="J3" s="6" t="s">
        <v>85</v>
      </c>
    </row>
    <row r="4" spans="1:10" x14ac:dyDescent="0.25">
      <c r="A4" s="6">
        <v>3</v>
      </c>
      <c r="B4" s="6">
        <f>Työkaluvälilehti!$B$26</f>
        <v>200</v>
      </c>
      <c r="C4" s="6">
        <v>9.5</v>
      </c>
      <c r="D4" s="6">
        <f>Työkaluvälilehti!$B$36*C4</f>
        <v>285</v>
      </c>
      <c r="F4" s="6" t="s">
        <v>86</v>
      </c>
      <c r="G4" s="6" t="s">
        <v>71</v>
      </c>
      <c r="J4" s="6" t="s">
        <v>87</v>
      </c>
    </row>
    <row r="5" spans="1:10" x14ac:dyDescent="0.25">
      <c r="A5" s="6">
        <v>4</v>
      </c>
      <c r="B5" s="6">
        <f>Työkaluvälilehti!$B$26</f>
        <v>200</v>
      </c>
      <c r="C5" s="6">
        <v>9.5</v>
      </c>
      <c r="D5" s="6">
        <f>Työkaluvälilehti!$B$36*C5</f>
        <v>285</v>
      </c>
      <c r="G5" s="14">
        <f>NPV(Työkaluvälilehti!B17,D2:D61)</f>
        <v>4381.1485426616055</v>
      </c>
      <c r="H5" s="6">
        <f>G5/(1-EXP(-Työkaluvälilehti!B17*30))</f>
        <v>5639.4885190789146</v>
      </c>
    </row>
    <row r="6" spans="1:10" x14ac:dyDescent="0.25">
      <c r="A6" s="6">
        <v>5</v>
      </c>
      <c r="B6" s="6">
        <f>Työkaluvälilehti!$B$26</f>
        <v>200</v>
      </c>
      <c r="C6" s="6">
        <v>9.5</v>
      </c>
      <c r="D6" s="6">
        <f>Työkaluvälilehti!$B$36*C6</f>
        <v>285</v>
      </c>
    </row>
    <row r="7" spans="1:10" x14ac:dyDescent="0.25">
      <c r="A7" s="6">
        <v>6</v>
      </c>
      <c r="B7" s="6">
        <f>Työkaluvälilehti!$B$26</f>
        <v>200</v>
      </c>
      <c r="C7" s="6">
        <v>9.5</v>
      </c>
      <c r="D7" s="6">
        <f>Työkaluvälilehti!$B$36*C7</f>
        <v>285</v>
      </c>
    </row>
    <row r="8" spans="1:10" x14ac:dyDescent="0.25">
      <c r="A8" s="6">
        <v>7</v>
      </c>
      <c r="B8" s="6">
        <f>Työkaluvälilehti!$B$26</f>
        <v>200</v>
      </c>
      <c r="C8" s="6">
        <v>9.5</v>
      </c>
      <c r="D8" s="6">
        <f>Työkaluvälilehti!$B$36*C8</f>
        <v>285</v>
      </c>
      <c r="G8" s="6" t="s">
        <v>88</v>
      </c>
    </row>
    <row r="9" spans="1:10" x14ac:dyDescent="0.25">
      <c r="A9" s="6">
        <v>8</v>
      </c>
      <c r="B9" s="6">
        <f>Työkaluvälilehti!$B$26</f>
        <v>200</v>
      </c>
      <c r="C9" s="6">
        <v>9.5</v>
      </c>
      <c r="D9" s="6">
        <f>Työkaluvälilehti!$B$36*C9</f>
        <v>285</v>
      </c>
      <c r="G9" s="6" t="s">
        <v>89</v>
      </c>
    </row>
    <row r="10" spans="1:10" x14ac:dyDescent="0.25">
      <c r="A10" s="6">
        <v>9</v>
      </c>
      <c r="B10" s="6">
        <f>Työkaluvälilehti!$B$26</f>
        <v>200</v>
      </c>
      <c r="C10" s="6">
        <v>9.5</v>
      </c>
      <c r="D10" s="6">
        <f>Työkaluvälilehti!$B$36*C10</f>
        <v>285</v>
      </c>
    </row>
    <row r="11" spans="1:10" x14ac:dyDescent="0.25">
      <c r="A11" s="6">
        <v>10</v>
      </c>
      <c r="B11" s="6">
        <f>Työkaluvälilehti!$B$26</f>
        <v>200</v>
      </c>
      <c r="C11" s="6">
        <v>9.5</v>
      </c>
      <c r="D11" s="6">
        <f>Työkaluvälilehti!$B$36*C11</f>
        <v>285</v>
      </c>
      <c r="G11" s="6" t="s">
        <v>90</v>
      </c>
    </row>
    <row r="12" spans="1:10" x14ac:dyDescent="0.25">
      <c r="A12" s="6">
        <v>11</v>
      </c>
      <c r="B12" s="6">
        <f>Työkaluvälilehti!$B$26</f>
        <v>200</v>
      </c>
      <c r="C12" s="6">
        <v>9.5</v>
      </c>
      <c r="D12" s="6">
        <f>Työkaluvälilehti!$B$36*C12</f>
        <v>285</v>
      </c>
    </row>
    <row r="13" spans="1:10" x14ac:dyDescent="0.25">
      <c r="A13" s="6">
        <v>12</v>
      </c>
      <c r="B13" s="6">
        <f>Työkaluvälilehti!$B$26</f>
        <v>200</v>
      </c>
      <c r="C13" s="6">
        <v>9.5</v>
      </c>
      <c r="D13" s="6">
        <f>Työkaluvälilehti!$B$36*C13</f>
        <v>285</v>
      </c>
    </row>
    <row r="14" spans="1:10" x14ac:dyDescent="0.25">
      <c r="A14" s="6">
        <v>13</v>
      </c>
      <c r="B14" s="6">
        <f>Työkaluvälilehti!$B$26</f>
        <v>200</v>
      </c>
      <c r="C14" s="6">
        <v>9.5</v>
      </c>
      <c r="D14" s="6">
        <f>Työkaluvälilehti!$B$36*C14</f>
        <v>285</v>
      </c>
      <c r="G14" s="6" t="s">
        <v>91</v>
      </c>
    </row>
    <row r="15" spans="1:10" x14ac:dyDescent="0.25">
      <c r="A15" s="6">
        <v>14</v>
      </c>
      <c r="B15" s="6">
        <f>Työkaluvälilehti!$B$26</f>
        <v>200</v>
      </c>
      <c r="C15" s="6">
        <v>9.5</v>
      </c>
      <c r="D15" s="6">
        <f>Työkaluvälilehti!$B$36*C15</f>
        <v>285</v>
      </c>
      <c r="G15" s="6" t="s">
        <v>92</v>
      </c>
    </row>
    <row r="16" spans="1:10" x14ac:dyDescent="0.25">
      <c r="A16" s="6">
        <v>15</v>
      </c>
      <c r="B16" s="6">
        <f>Työkaluvälilehti!$B$26</f>
        <v>200</v>
      </c>
      <c r="C16" s="6">
        <v>9.5</v>
      </c>
      <c r="D16" s="6">
        <f>Työkaluvälilehti!$B$36*C16</f>
        <v>285</v>
      </c>
      <c r="G16" s="6" t="s">
        <v>93</v>
      </c>
    </row>
    <row r="17" spans="1:4" x14ac:dyDescent="0.25">
      <c r="A17" s="6">
        <v>16</v>
      </c>
      <c r="B17" s="6">
        <f>Työkaluvälilehti!$B$26</f>
        <v>200</v>
      </c>
      <c r="C17" s="6">
        <v>9.5</v>
      </c>
      <c r="D17" s="6">
        <f>Työkaluvälilehti!$B$36*C17</f>
        <v>285</v>
      </c>
    </row>
    <row r="18" spans="1:4" x14ac:dyDescent="0.25">
      <c r="A18" s="6">
        <v>17</v>
      </c>
      <c r="B18" s="6">
        <f>Työkaluvälilehti!$B$26</f>
        <v>200</v>
      </c>
      <c r="C18" s="6">
        <v>9.5</v>
      </c>
      <c r="D18" s="6">
        <f>Työkaluvälilehti!$B$36*C18</f>
        <v>285</v>
      </c>
    </row>
    <row r="19" spans="1:4" x14ac:dyDescent="0.25">
      <c r="A19" s="6">
        <v>18</v>
      </c>
      <c r="B19" s="6">
        <f>Työkaluvälilehti!$B$26</f>
        <v>200</v>
      </c>
      <c r="C19" s="6">
        <v>9.5</v>
      </c>
      <c r="D19" s="6">
        <f>Työkaluvälilehti!$B$36*C19</f>
        <v>285</v>
      </c>
    </row>
    <row r="20" spans="1:4" x14ac:dyDescent="0.25">
      <c r="A20" s="6">
        <v>19</v>
      </c>
      <c r="B20" s="6">
        <f>Työkaluvälilehti!$B$26</f>
        <v>200</v>
      </c>
      <c r="C20" s="6">
        <v>9.5</v>
      </c>
      <c r="D20" s="6">
        <f>Työkaluvälilehti!$B$36*C20</f>
        <v>285</v>
      </c>
    </row>
    <row r="21" spans="1:4" x14ac:dyDescent="0.25">
      <c r="A21" s="6">
        <v>20</v>
      </c>
      <c r="B21" s="6">
        <f>Työkaluvälilehti!$B$26</f>
        <v>200</v>
      </c>
      <c r="C21" s="6">
        <v>9.5</v>
      </c>
      <c r="D21" s="6">
        <f>Työkaluvälilehti!$B$36*C21</f>
        <v>285</v>
      </c>
    </row>
    <row r="22" spans="1:4" x14ac:dyDescent="0.25">
      <c r="A22" s="6">
        <v>21</v>
      </c>
      <c r="B22" s="6">
        <f>Työkaluvälilehti!$B$26</f>
        <v>200</v>
      </c>
      <c r="C22" s="6">
        <v>9.5</v>
      </c>
      <c r="D22" s="6">
        <f>Työkaluvälilehti!$B$36*C22</f>
        <v>285</v>
      </c>
    </row>
    <row r="23" spans="1:4" x14ac:dyDescent="0.25">
      <c r="A23" s="6">
        <v>22</v>
      </c>
      <c r="B23" s="6">
        <f>Työkaluvälilehti!$B$26</f>
        <v>200</v>
      </c>
      <c r="C23" s="6">
        <v>9.5</v>
      </c>
      <c r="D23" s="6">
        <f>Työkaluvälilehti!$B$36*C23</f>
        <v>285</v>
      </c>
    </row>
    <row r="24" spans="1:4" x14ac:dyDescent="0.25">
      <c r="A24" s="6">
        <v>23</v>
      </c>
      <c r="B24" s="6">
        <f>Työkaluvälilehti!$B$26</f>
        <v>200</v>
      </c>
      <c r="C24" s="6">
        <v>9.5</v>
      </c>
      <c r="D24" s="6">
        <f>Työkaluvälilehti!$B$36*C24</f>
        <v>285</v>
      </c>
    </row>
    <row r="25" spans="1:4" x14ac:dyDescent="0.25">
      <c r="A25" s="6">
        <v>24</v>
      </c>
      <c r="B25" s="6">
        <f>Työkaluvälilehti!$B$26</f>
        <v>200</v>
      </c>
      <c r="C25" s="6">
        <v>9.5</v>
      </c>
      <c r="D25" s="6">
        <f>Työkaluvälilehti!$B$36*C25</f>
        <v>285</v>
      </c>
    </row>
    <row r="26" spans="1:4" x14ac:dyDescent="0.25">
      <c r="A26" s="6">
        <v>25</v>
      </c>
      <c r="B26" s="6">
        <f>Työkaluvälilehti!$B$26</f>
        <v>200</v>
      </c>
      <c r="C26" s="6">
        <v>9.5</v>
      </c>
      <c r="D26" s="6">
        <f>Työkaluvälilehti!$B$36*C26</f>
        <v>285</v>
      </c>
    </row>
    <row r="27" spans="1:4" x14ac:dyDescent="0.25">
      <c r="A27" s="6">
        <v>26</v>
      </c>
      <c r="B27" s="6">
        <f>Työkaluvälilehti!$B$26</f>
        <v>200</v>
      </c>
      <c r="C27" s="6">
        <v>9.5</v>
      </c>
      <c r="D27" s="6">
        <f>Työkaluvälilehti!$B$36*C27</f>
        <v>285</v>
      </c>
    </row>
    <row r="28" spans="1:4" x14ac:dyDescent="0.25">
      <c r="A28" s="6">
        <v>27</v>
      </c>
      <c r="B28" s="6">
        <f>Työkaluvälilehti!$B$26</f>
        <v>200</v>
      </c>
      <c r="C28" s="6">
        <v>9.5</v>
      </c>
      <c r="D28" s="6">
        <f>Työkaluvälilehti!$B$36*C28</f>
        <v>285</v>
      </c>
    </row>
    <row r="29" spans="1:4" x14ac:dyDescent="0.25">
      <c r="A29" s="6">
        <v>28</v>
      </c>
      <c r="B29" s="6">
        <f>Työkaluvälilehti!$B$26</f>
        <v>200</v>
      </c>
      <c r="C29" s="6">
        <v>9.5</v>
      </c>
      <c r="D29" s="6">
        <f>Työkaluvälilehti!$B$36*C29</f>
        <v>285</v>
      </c>
    </row>
    <row r="30" spans="1:4" x14ac:dyDescent="0.25">
      <c r="A30" s="6">
        <v>29</v>
      </c>
      <c r="B30" s="6">
        <f>Työkaluvälilehti!$B$26</f>
        <v>200</v>
      </c>
      <c r="C30" s="6">
        <v>9.5</v>
      </c>
      <c r="D30" s="6">
        <f>Työkaluvälilehti!$B$36*C30</f>
        <v>285</v>
      </c>
    </row>
    <row r="31" spans="1:4" x14ac:dyDescent="0.25">
      <c r="A31" s="6">
        <v>30</v>
      </c>
      <c r="B31" s="6">
        <f>Työkaluvälilehti!$B$26</f>
        <v>200</v>
      </c>
      <c r="C31" s="6">
        <v>9.5</v>
      </c>
      <c r="D31" s="6">
        <f>Työkaluvälilehti!$B$36*C31</f>
        <v>285</v>
      </c>
    </row>
    <row r="32" spans="1:4" x14ac:dyDescent="0.25">
      <c r="A32" s="6">
        <v>31</v>
      </c>
      <c r="B32" s="6">
        <f>Työkaluvälilehti!$B$26</f>
        <v>200</v>
      </c>
      <c r="C32" s="6">
        <v>9.5</v>
      </c>
    </row>
    <row r="33" spans="1:3" x14ac:dyDescent="0.25">
      <c r="A33" s="6">
        <v>32</v>
      </c>
      <c r="B33" s="6">
        <f>Työkaluvälilehti!$B$26</f>
        <v>200</v>
      </c>
      <c r="C33" s="6">
        <v>9.5</v>
      </c>
    </row>
    <row r="34" spans="1:3" x14ac:dyDescent="0.25">
      <c r="A34" s="6">
        <v>33</v>
      </c>
      <c r="B34" s="6">
        <f>Työkaluvälilehti!$B$26</f>
        <v>200</v>
      </c>
      <c r="C34" s="6">
        <v>9.5</v>
      </c>
    </row>
    <row r="35" spans="1:3" x14ac:dyDescent="0.25">
      <c r="A35" s="6">
        <v>34</v>
      </c>
      <c r="B35" s="6">
        <f>Työkaluvälilehti!$B$26</f>
        <v>200</v>
      </c>
      <c r="C35" s="6">
        <v>9.5</v>
      </c>
    </row>
    <row r="36" spans="1:3" x14ac:dyDescent="0.25">
      <c r="A36" s="6">
        <v>35</v>
      </c>
      <c r="B36" s="6">
        <f>Työkaluvälilehti!$B$26</f>
        <v>200</v>
      </c>
      <c r="C36" s="6">
        <v>9.5</v>
      </c>
    </row>
    <row r="37" spans="1:3" x14ac:dyDescent="0.25">
      <c r="A37" s="6">
        <v>36</v>
      </c>
      <c r="B37" s="6">
        <f>Työkaluvälilehti!$B$26</f>
        <v>200</v>
      </c>
      <c r="C37" s="6">
        <v>9.5</v>
      </c>
    </row>
    <row r="38" spans="1:3" x14ac:dyDescent="0.25">
      <c r="A38" s="6">
        <v>37</v>
      </c>
      <c r="B38" s="6">
        <f>Työkaluvälilehti!$B$26</f>
        <v>200</v>
      </c>
      <c r="C38" s="6">
        <v>9.5</v>
      </c>
    </row>
    <row r="39" spans="1:3" x14ac:dyDescent="0.25">
      <c r="A39" s="6">
        <v>38</v>
      </c>
      <c r="B39" s="6">
        <f>Työkaluvälilehti!$B$26</f>
        <v>200</v>
      </c>
      <c r="C39" s="6">
        <v>9.5</v>
      </c>
    </row>
    <row r="40" spans="1:3" x14ac:dyDescent="0.25">
      <c r="A40" s="6">
        <v>39</v>
      </c>
      <c r="B40" s="6">
        <f>Työkaluvälilehti!$B$26</f>
        <v>200</v>
      </c>
      <c r="C40" s="6">
        <v>9.5</v>
      </c>
    </row>
    <row r="41" spans="1:3" x14ac:dyDescent="0.25">
      <c r="A41" s="6">
        <v>40</v>
      </c>
      <c r="B41" s="6">
        <f>Työkaluvälilehti!$B$26</f>
        <v>200</v>
      </c>
      <c r="C41" s="6">
        <v>9.5</v>
      </c>
    </row>
    <row r="42" spans="1:3" x14ac:dyDescent="0.25">
      <c r="A42" s="6">
        <v>41</v>
      </c>
      <c r="B42" s="6">
        <f>Työkaluvälilehti!$B$26</f>
        <v>200</v>
      </c>
      <c r="C42" s="6">
        <v>9.5</v>
      </c>
    </row>
    <row r="43" spans="1:3" x14ac:dyDescent="0.25">
      <c r="A43" s="6">
        <v>42</v>
      </c>
      <c r="B43" s="6">
        <f>Työkaluvälilehti!$B$26</f>
        <v>200</v>
      </c>
      <c r="C43" s="6">
        <v>9.5</v>
      </c>
    </row>
    <row r="44" spans="1:3" x14ac:dyDescent="0.25">
      <c r="A44" s="6">
        <v>43</v>
      </c>
      <c r="B44" s="6">
        <f>Työkaluvälilehti!$B$26</f>
        <v>200</v>
      </c>
      <c r="C44" s="6">
        <v>9.5</v>
      </c>
    </row>
    <row r="45" spans="1:3" x14ac:dyDescent="0.25">
      <c r="A45" s="6">
        <v>44</v>
      </c>
      <c r="B45" s="6">
        <f>Työkaluvälilehti!$B$26</f>
        <v>200</v>
      </c>
      <c r="C45" s="6">
        <v>9.5</v>
      </c>
    </row>
    <row r="46" spans="1:3" x14ac:dyDescent="0.25">
      <c r="A46" s="6">
        <v>45</v>
      </c>
      <c r="B46" s="6">
        <f>Työkaluvälilehti!$B$26</f>
        <v>200</v>
      </c>
      <c r="C46" s="6">
        <v>9.5</v>
      </c>
    </row>
    <row r="47" spans="1:3" x14ac:dyDescent="0.25">
      <c r="A47" s="6">
        <v>46</v>
      </c>
      <c r="B47" s="6">
        <f>Työkaluvälilehti!$B$26</f>
        <v>200</v>
      </c>
      <c r="C47" s="6">
        <v>9.5</v>
      </c>
    </row>
    <row r="48" spans="1:3" x14ac:dyDescent="0.25">
      <c r="A48" s="6">
        <v>47</v>
      </c>
      <c r="B48" s="6">
        <f>Työkaluvälilehti!$B$26</f>
        <v>200</v>
      </c>
      <c r="C48" s="6">
        <v>9.5</v>
      </c>
    </row>
    <row r="49" spans="1:3" x14ac:dyDescent="0.25">
      <c r="A49" s="6">
        <v>48</v>
      </c>
      <c r="B49" s="6">
        <f>Työkaluvälilehti!$B$26</f>
        <v>200</v>
      </c>
      <c r="C49" s="6">
        <v>9.5</v>
      </c>
    </row>
    <row r="50" spans="1:3" x14ac:dyDescent="0.25">
      <c r="A50" s="6">
        <v>49</v>
      </c>
      <c r="B50" s="6">
        <f>Työkaluvälilehti!$B$26</f>
        <v>200</v>
      </c>
      <c r="C50" s="6">
        <v>9.5</v>
      </c>
    </row>
    <row r="51" spans="1:3" x14ac:dyDescent="0.25">
      <c r="A51" s="6">
        <v>50</v>
      </c>
      <c r="B51" s="6">
        <f>Työkaluvälilehti!$B$26</f>
        <v>200</v>
      </c>
      <c r="C51" s="6">
        <v>9.5</v>
      </c>
    </row>
    <row r="52" spans="1:3" x14ac:dyDescent="0.25">
      <c r="A52" s="6">
        <v>51</v>
      </c>
      <c r="B52" s="6">
        <f>Työkaluvälilehti!$B$26</f>
        <v>200</v>
      </c>
      <c r="C52" s="6">
        <v>9.5</v>
      </c>
    </row>
    <row r="53" spans="1:3" x14ac:dyDescent="0.25">
      <c r="A53" s="6">
        <v>52</v>
      </c>
      <c r="B53" s="6">
        <f>Työkaluvälilehti!$B$26</f>
        <v>200</v>
      </c>
      <c r="C53" s="6">
        <v>9.5</v>
      </c>
    </row>
    <row r="54" spans="1:3" x14ac:dyDescent="0.25">
      <c r="A54" s="6">
        <v>53</v>
      </c>
      <c r="B54" s="6">
        <f>Työkaluvälilehti!$B$26</f>
        <v>200</v>
      </c>
      <c r="C54" s="6">
        <v>9.5</v>
      </c>
    </row>
    <row r="55" spans="1:3" x14ac:dyDescent="0.25">
      <c r="A55" s="6">
        <v>54</v>
      </c>
      <c r="B55" s="6">
        <f>Työkaluvälilehti!$B$26</f>
        <v>200</v>
      </c>
      <c r="C55" s="6">
        <v>9.5</v>
      </c>
    </row>
    <row r="56" spans="1:3" x14ac:dyDescent="0.25">
      <c r="A56" s="6">
        <v>55</v>
      </c>
      <c r="B56" s="6">
        <f>Työkaluvälilehti!$B$26</f>
        <v>200</v>
      </c>
      <c r="C56" s="6">
        <v>9.5</v>
      </c>
    </row>
    <row r="57" spans="1:3" x14ac:dyDescent="0.25">
      <c r="A57" s="6">
        <v>56</v>
      </c>
      <c r="B57" s="6">
        <f>Työkaluvälilehti!$B$26</f>
        <v>200</v>
      </c>
      <c r="C57" s="6">
        <v>9.5</v>
      </c>
    </row>
    <row r="58" spans="1:3" x14ac:dyDescent="0.25">
      <c r="A58" s="6">
        <v>57</v>
      </c>
      <c r="B58" s="6">
        <f>Työkaluvälilehti!$B$26</f>
        <v>200</v>
      </c>
      <c r="C58" s="6">
        <v>9.5</v>
      </c>
    </row>
    <row r="59" spans="1:3" x14ac:dyDescent="0.25">
      <c r="A59" s="6">
        <v>58</v>
      </c>
      <c r="B59" s="6">
        <f>Työkaluvälilehti!$B$26</f>
        <v>200</v>
      </c>
      <c r="C59" s="6">
        <v>9.5</v>
      </c>
    </row>
    <row r="60" spans="1:3" x14ac:dyDescent="0.25">
      <c r="A60" s="6">
        <v>59</v>
      </c>
      <c r="B60" s="6">
        <f>Työkaluvälilehti!$B$26</f>
        <v>200</v>
      </c>
      <c r="C60" s="6">
        <v>9.5</v>
      </c>
    </row>
    <row r="61" spans="1:3" x14ac:dyDescent="0.25">
      <c r="A61" s="6">
        <v>60</v>
      </c>
      <c r="B61" s="6">
        <f>Työkaluvälilehti!$B$26</f>
        <v>200</v>
      </c>
      <c r="C61" s="6">
        <v>9.5</v>
      </c>
    </row>
  </sheetData>
  <sheetProtection selectLockedCells="1" selectUnlockedCells="1"/>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30A665-A062-4A6D-9F4F-D420AAB0585C}">
  <dimension ref="A1:W137"/>
  <sheetViews>
    <sheetView workbookViewId="0">
      <selection activeCell="K5" sqref="K5:K29"/>
    </sheetView>
  </sheetViews>
  <sheetFormatPr defaultColWidth="4.7109375" defaultRowHeight="15" x14ac:dyDescent="0.25"/>
  <cols>
    <col min="1" max="1" width="4.85546875" style="6" bestFit="1" customWidth="1"/>
    <col min="2" max="4" width="6" style="6" bestFit="1" customWidth="1"/>
    <col min="5" max="5" width="5.7109375" style="6" bestFit="1" customWidth="1"/>
    <col min="6" max="7" width="5.85546875" style="6" bestFit="1" customWidth="1"/>
    <col min="8" max="8" width="6.85546875" style="6" customWidth="1"/>
    <col min="9" max="9" width="7.85546875" style="6" bestFit="1" customWidth="1"/>
    <col min="10" max="12" width="5.7109375" style="6" bestFit="1" customWidth="1"/>
    <col min="13" max="13" width="4.7109375" style="6"/>
    <col min="14" max="14" width="5.7109375" style="6" bestFit="1" customWidth="1"/>
    <col min="15" max="16384" width="4.7109375" style="6"/>
  </cols>
  <sheetData>
    <row r="1" spans="1:23" x14ac:dyDescent="0.25">
      <c r="A1" s="6" t="s">
        <v>94</v>
      </c>
      <c r="B1" s="6">
        <v>0.08</v>
      </c>
    </row>
    <row r="3" spans="1:23" x14ac:dyDescent="0.25">
      <c r="A3" s="6" t="s">
        <v>95</v>
      </c>
    </row>
    <row r="4" spans="1:23" x14ac:dyDescent="0.25">
      <c r="A4" s="6" t="s">
        <v>78</v>
      </c>
      <c r="B4" s="6" t="s">
        <v>96</v>
      </c>
      <c r="C4" s="6" t="s">
        <v>97</v>
      </c>
      <c r="D4" s="6" t="s">
        <v>98</v>
      </c>
      <c r="E4" s="6" t="s">
        <v>99</v>
      </c>
      <c r="F4" s="6" t="s">
        <v>100</v>
      </c>
      <c r="G4" s="6" t="s">
        <v>101</v>
      </c>
      <c r="H4" s="6" t="s">
        <v>102</v>
      </c>
      <c r="T4" s="10"/>
      <c r="U4" s="10"/>
    </row>
    <row r="5" spans="1:23" x14ac:dyDescent="0.25">
      <c r="A5" s="6">
        <v>0</v>
      </c>
      <c r="B5" s="10">
        <v>2623.0520000000001</v>
      </c>
      <c r="C5" s="6">
        <v>0</v>
      </c>
      <c r="D5" s="10">
        <v>0</v>
      </c>
      <c r="E5" s="10">
        <f>D5-B5-C5</f>
        <v>-2623.0520000000001</v>
      </c>
      <c r="F5" s="10">
        <f>B5/(1+$B$1)^$A5+C5/(1+$B$1)^$A5</f>
        <v>2623.0520000000001</v>
      </c>
      <c r="G5" s="10">
        <f t="shared" ref="G5:G12" si="0">D5/(1+$B$1)^$A5</f>
        <v>0</v>
      </c>
      <c r="H5" s="10">
        <f>G5-F5</f>
        <v>-2623.0520000000001</v>
      </c>
      <c r="I5" s="10"/>
      <c r="K5" s="6">
        <f>E5/(1+$B$1)^(A5)</f>
        <v>-2623.0520000000001</v>
      </c>
      <c r="L5" s="10"/>
      <c r="M5" s="10"/>
      <c r="N5" s="10"/>
      <c r="O5" s="10"/>
      <c r="P5" s="10"/>
      <c r="Q5" s="10"/>
      <c r="R5" s="10"/>
    </row>
    <row r="6" spans="1:23" x14ac:dyDescent="0.25">
      <c r="A6" s="6">
        <v>1</v>
      </c>
      <c r="B6" s="10">
        <v>123.69</v>
      </c>
      <c r="C6" s="6">
        <v>0</v>
      </c>
      <c r="D6" s="10">
        <v>0</v>
      </c>
      <c r="E6" s="10">
        <f t="shared" ref="E6:E12" si="1">D6-B6-C6</f>
        <v>-123.69</v>
      </c>
      <c r="F6" s="10">
        <f t="shared" ref="F6:F12" si="2">B6/(1+$B$1)^$A6+C6/(1+$B$1)^$A6</f>
        <v>114.52777777777777</v>
      </c>
      <c r="G6" s="10">
        <f t="shared" si="0"/>
        <v>0</v>
      </c>
      <c r="H6" s="10">
        <f>G6-F6</f>
        <v>-114.52777777777777</v>
      </c>
      <c r="I6" s="10"/>
      <c r="K6" s="6">
        <f t="shared" ref="K6:K12" si="3">E6/(1+$B$1)^(A6)</f>
        <v>-114.52777777777777</v>
      </c>
      <c r="L6" s="10"/>
      <c r="M6" s="10"/>
      <c r="N6" s="10"/>
      <c r="O6" s="10"/>
      <c r="P6" s="10"/>
      <c r="Q6" s="10"/>
      <c r="R6" s="10"/>
      <c r="S6" s="13"/>
      <c r="T6" s="10"/>
      <c r="U6" s="10"/>
      <c r="V6" s="10"/>
      <c r="W6" s="10"/>
    </row>
    <row r="7" spans="1:23" x14ac:dyDescent="0.25">
      <c r="A7" s="6">
        <v>5</v>
      </c>
      <c r="B7" s="10">
        <v>366.1198</v>
      </c>
      <c r="C7" s="6">
        <f>750.215+224.759*Laskuri!$B$13-1.873*Laskuri!$B$13^2</f>
        <v>1827.1849999999997</v>
      </c>
      <c r="D7" s="10">
        <f>Työkaluvälilehti!$B$10*(A7-A6)*Työkaluvälilehti!$B$2</f>
        <v>2510.2560000000003</v>
      </c>
      <c r="E7" s="10">
        <f>D7-B7-C7</f>
        <v>316.95120000000065</v>
      </c>
      <c r="F7" s="10">
        <f t="shared" si="2"/>
        <v>1492.7263928534762</v>
      </c>
      <c r="G7" s="10">
        <f>D7/(1+$B$1)^$A7</f>
        <v>1708.4380538531609</v>
      </c>
      <c r="H7" s="10">
        <f>G7-F7</f>
        <v>215.71166099968468</v>
      </c>
      <c r="I7" s="10"/>
      <c r="K7" s="6">
        <f t="shared" si="3"/>
        <v>215.71166099968491</v>
      </c>
      <c r="L7" s="10"/>
      <c r="M7" s="10"/>
      <c r="N7" s="10"/>
      <c r="O7" s="10"/>
      <c r="P7" s="10"/>
      <c r="Q7" s="10"/>
      <c r="R7" s="10"/>
      <c r="S7" s="13"/>
    </row>
    <row r="8" spans="1:23" x14ac:dyDescent="0.25">
      <c r="A8" s="6">
        <v>9</v>
      </c>
      <c r="B8" s="10">
        <v>366.1198</v>
      </c>
      <c r="C8" s="6">
        <f>750.215+224.759*Laskuri!$B$13-1.873*Laskuri!$B$13^2</f>
        <v>1827.1849999999997</v>
      </c>
      <c r="D8" s="10">
        <f>Työkaluvälilehti!$B$10*(A8-A7)*Työkaluvälilehti!$B$2</f>
        <v>2510.2560000000003</v>
      </c>
      <c r="E8" s="10">
        <f>D8-B8-C8</f>
        <v>316.95120000000065</v>
      </c>
      <c r="F8" s="10">
        <f t="shared" si="2"/>
        <v>1097.1984608044711</v>
      </c>
      <c r="G8" s="10">
        <f t="shared" si="0"/>
        <v>1255.7529712355479</v>
      </c>
      <c r="H8" s="10">
        <f t="shared" ref="H8:H11" si="4">G8-F8</f>
        <v>158.55451043107678</v>
      </c>
      <c r="I8" s="10"/>
      <c r="K8" s="6">
        <f t="shared" si="3"/>
        <v>158.55451043107681</v>
      </c>
      <c r="L8" s="10"/>
      <c r="M8" s="10"/>
      <c r="N8" s="10"/>
      <c r="O8" s="10"/>
      <c r="P8" s="10"/>
      <c r="Q8" s="10"/>
      <c r="R8" s="10"/>
      <c r="S8" s="13"/>
    </row>
    <row r="9" spans="1:23" x14ac:dyDescent="0.25">
      <c r="A9" s="6">
        <v>13</v>
      </c>
      <c r="B9" s="10">
        <v>366.1198</v>
      </c>
      <c r="C9" s="6">
        <f>750.215+224.759*Laskuri!$B$13-1.873*Laskuri!$B$13^2</f>
        <v>1827.1849999999997</v>
      </c>
      <c r="D9" s="10">
        <f>Työkaluvälilehti!$B$10*(A9-A8)*Työkaluvälilehti!$B$2</f>
        <v>2510.2560000000003</v>
      </c>
      <c r="E9" s="10">
        <f>D9-B9-C9</f>
        <v>316.95120000000065</v>
      </c>
      <c r="F9" s="10">
        <f>B9/(1+$B$1)^$A9+C9/(1+$B$1)^$A9</f>
        <v>806.47362313360566</v>
      </c>
      <c r="G9" s="10">
        <f t="shared" si="0"/>
        <v>923.01592159597374</v>
      </c>
      <c r="H9" s="10">
        <f t="shared" si="4"/>
        <v>116.54229846236808</v>
      </c>
      <c r="I9" s="10"/>
      <c r="K9" s="6">
        <f t="shared" si="3"/>
        <v>116.54229846236812</v>
      </c>
      <c r="L9" s="10"/>
      <c r="M9" s="10"/>
      <c r="N9" s="10"/>
      <c r="O9" s="10"/>
      <c r="P9" s="10"/>
      <c r="Q9" s="10"/>
      <c r="R9" s="10"/>
      <c r="S9" s="13"/>
    </row>
    <row r="10" spans="1:23" x14ac:dyDescent="0.25">
      <c r="A10" s="6">
        <v>17</v>
      </c>
      <c r="B10" s="10">
        <v>366.1198</v>
      </c>
      <c r="C10" s="6">
        <f>750.215+224.759*Laskuri!$B$13-1.873*Laskuri!$B$13^2</f>
        <v>1827.1849999999997</v>
      </c>
      <c r="D10" s="10">
        <f>Työkaluvälilehti!$B$10*(A10-A9)*Työkaluvälilehti!$B$2</f>
        <v>2510.2560000000003</v>
      </c>
      <c r="E10" s="10">
        <f t="shared" si="1"/>
        <v>316.95120000000065</v>
      </c>
      <c r="F10" s="10">
        <f t="shared" si="2"/>
        <v>592.78218849611642</v>
      </c>
      <c r="G10" s="10">
        <f t="shared" si="0"/>
        <v>678.44425697947122</v>
      </c>
      <c r="H10" s="10">
        <f t="shared" si="4"/>
        <v>85.662068483354801</v>
      </c>
      <c r="I10" s="10"/>
      <c r="K10" s="6">
        <f t="shared" si="3"/>
        <v>85.662068483354759</v>
      </c>
      <c r="L10" s="10"/>
      <c r="M10" s="10"/>
      <c r="N10" s="10"/>
      <c r="O10" s="10"/>
      <c r="P10" s="10"/>
      <c r="Q10" s="10"/>
      <c r="R10" s="10"/>
      <c r="S10" s="13"/>
    </row>
    <row r="11" spans="1:23" x14ac:dyDescent="0.25">
      <c r="A11" s="6">
        <v>21</v>
      </c>
      <c r="B11" s="10">
        <v>59</v>
      </c>
      <c r="C11" s="6">
        <f>750.215+224.759*Laskuri!$B$13-1.873*Laskuri!$B$13^2</f>
        <v>1827.1849999999997</v>
      </c>
      <c r="D11" s="10">
        <f>Työkaluvälilehti!$B$10*(A11-A10)*Työkaluvälilehti!$B$2</f>
        <v>2510.2560000000003</v>
      </c>
      <c r="E11" s="10">
        <f t="shared" si="1"/>
        <v>624.07100000000059</v>
      </c>
      <c r="F11" s="10">
        <f t="shared" si="2"/>
        <v>374.70149128001879</v>
      </c>
      <c r="G11" s="10">
        <f t="shared" si="0"/>
        <v>498.67678233821982</v>
      </c>
      <c r="H11" s="10">
        <f t="shared" si="4"/>
        <v>123.97529105820104</v>
      </c>
      <c r="I11" s="10"/>
      <c r="K11" s="6">
        <f t="shared" si="3"/>
        <v>123.97529105820101</v>
      </c>
      <c r="L11" s="10"/>
      <c r="M11" s="10"/>
      <c r="N11" s="10"/>
      <c r="O11" s="10"/>
      <c r="P11" s="10"/>
      <c r="Q11" s="10"/>
      <c r="R11" s="10"/>
      <c r="S11" s="13"/>
    </row>
    <row r="12" spans="1:23" x14ac:dyDescent="0.25">
      <c r="A12" s="6">
        <v>22</v>
      </c>
      <c r="B12" s="10">
        <v>400.56279999999998</v>
      </c>
      <c r="C12" s="6">
        <v>0</v>
      </c>
      <c r="D12" s="10">
        <v>0</v>
      </c>
      <c r="E12" s="10">
        <f t="shared" si="1"/>
        <v>-400.56279999999998</v>
      </c>
      <c r="F12" s="10">
        <f t="shared" si="2"/>
        <v>73.679724530820991</v>
      </c>
      <c r="G12" s="10">
        <f t="shared" si="0"/>
        <v>0</v>
      </c>
      <c r="H12" s="10">
        <f>G12-F12</f>
        <v>-73.679724530820991</v>
      </c>
      <c r="I12" s="10"/>
      <c r="K12" s="6">
        <f t="shared" si="3"/>
        <v>-73.679724530820991</v>
      </c>
      <c r="L12" s="10"/>
      <c r="M12" s="10"/>
      <c r="N12" s="10"/>
      <c r="O12" s="10"/>
      <c r="P12" s="10"/>
      <c r="Q12" s="10"/>
      <c r="R12" s="10"/>
      <c r="S12" s="13"/>
    </row>
    <row r="13" spans="1:23" x14ac:dyDescent="0.25">
      <c r="A13" s="6" t="s">
        <v>103</v>
      </c>
      <c r="B13" s="10" t="s">
        <v>96</v>
      </c>
      <c r="C13" s="6" t="s">
        <v>97</v>
      </c>
      <c r="D13" s="10" t="s">
        <v>98</v>
      </c>
      <c r="E13" s="10" t="s">
        <v>99</v>
      </c>
      <c r="F13" s="10" t="s">
        <v>100</v>
      </c>
      <c r="G13" s="10" t="s">
        <v>101</v>
      </c>
      <c r="H13" s="10" t="s">
        <v>102</v>
      </c>
      <c r="I13" s="10" t="s">
        <v>83</v>
      </c>
      <c r="L13" s="10"/>
      <c r="M13" s="10"/>
      <c r="N13" s="10"/>
      <c r="O13" s="10"/>
      <c r="P13" s="10"/>
      <c r="Q13" s="10"/>
      <c r="R13" s="10"/>
    </row>
    <row r="14" spans="1:23" x14ac:dyDescent="0.25">
      <c r="B14" s="10">
        <f t="shared" ref="B14:H14" si="5">SUM(B5:B12)</f>
        <v>4670.7839999999997</v>
      </c>
      <c r="C14" s="10">
        <f>SUM(C5:C12)</f>
        <v>9135.9249999999993</v>
      </c>
      <c r="D14" s="10">
        <f>SUM(D5:D12)</f>
        <v>12551.280000000002</v>
      </c>
      <c r="E14" s="10">
        <f t="shared" si="5"/>
        <v>-1255.4289999999974</v>
      </c>
      <c r="F14" s="10">
        <f t="shared" si="5"/>
        <v>7175.1416588762877</v>
      </c>
      <c r="G14" s="10">
        <f t="shared" si="5"/>
        <v>5064.3279860023731</v>
      </c>
      <c r="H14" s="10">
        <f t="shared" si="5"/>
        <v>-2110.8136728739137</v>
      </c>
      <c r="I14" s="10">
        <f>H14/(1-(1/(1+$B$1))^(A12))</f>
        <v>-2586.5928784201619</v>
      </c>
      <c r="K14" s="6">
        <f>SUM(K5:K12)</f>
        <v>-2110.8136728739137</v>
      </c>
      <c r="L14" s="10"/>
      <c r="M14" s="10"/>
      <c r="N14" s="10">
        <f>H14/(1+B1)^(A12)</f>
        <v>-388.26413724200165</v>
      </c>
      <c r="O14" s="10"/>
      <c r="P14" s="10"/>
      <c r="Q14" s="10"/>
      <c r="R14" s="10"/>
    </row>
    <row r="15" spans="1:23" x14ac:dyDescent="0.25">
      <c r="B15" s="10" t="s">
        <v>104</v>
      </c>
      <c r="C15" s="10">
        <v>1397.56949281265</v>
      </c>
      <c r="D15" s="10"/>
      <c r="E15" s="10"/>
      <c r="F15" s="10"/>
      <c r="G15" s="10"/>
      <c r="H15" s="10"/>
      <c r="L15" s="10"/>
      <c r="M15" s="10"/>
      <c r="N15" s="10"/>
      <c r="O15" s="10"/>
      <c r="P15" s="10"/>
      <c r="Q15" s="10"/>
      <c r="R15" s="10"/>
    </row>
    <row r="16" spans="1:23" x14ac:dyDescent="0.25">
      <c r="B16" s="10"/>
      <c r="C16" s="10"/>
      <c r="D16" s="10"/>
      <c r="E16" s="10"/>
      <c r="F16" s="10"/>
      <c r="G16" s="10"/>
      <c r="H16" s="10"/>
      <c r="L16" s="10"/>
      <c r="M16" s="10"/>
      <c r="N16" s="10"/>
      <c r="O16" s="10"/>
      <c r="P16" s="10"/>
      <c r="Q16" s="10"/>
      <c r="R16" s="10"/>
    </row>
    <row r="17" spans="1:18" x14ac:dyDescent="0.25">
      <c r="B17" s="10"/>
      <c r="C17" s="10"/>
      <c r="D17" s="10"/>
      <c r="E17" s="10"/>
      <c r="F17" s="10"/>
      <c r="G17" s="10"/>
      <c r="H17" s="10"/>
      <c r="L17" s="10"/>
      <c r="M17" s="10"/>
      <c r="N17" s="10"/>
      <c r="O17" s="10"/>
      <c r="P17" s="10"/>
      <c r="Q17" s="10"/>
      <c r="R17" s="10"/>
    </row>
    <row r="18" spans="1:18" x14ac:dyDescent="0.25">
      <c r="A18" s="6" t="s">
        <v>105</v>
      </c>
      <c r="B18" s="10"/>
      <c r="C18" s="10"/>
      <c r="D18" s="10"/>
      <c r="E18" s="10"/>
      <c r="F18" s="10"/>
      <c r="G18" s="10"/>
      <c r="H18" s="10"/>
      <c r="L18" s="10"/>
      <c r="M18" s="10"/>
      <c r="N18" s="10"/>
      <c r="O18" s="10"/>
      <c r="P18" s="10"/>
      <c r="Q18" s="10"/>
      <c r="R18" s="10"/>
    </row>
    <row r="19" spans="1:18" x14ac:dyDescent="0.25">
      <c r="A19" s="6" t="s">
        <v>78</v>
      </c>
      <c r="B19" s="10" t="s">
        <v>96</v>
      </c>
      <c r="C19" s="6" t="s">
        <v>97</v>
      </c>
      <c r="D19" s="10" t="s">
        <v>98</v>
      </c>
      <c r="E19" s="10" t="s">
        <v>99</v>
      </c>
      <c r="F19" s="10" t="s">
        <v>100</v>
      </c>
      <c r="G19" s="10" t="s">
        <v>101</v>
      </c>
      <c r="H19" s="10" t="s">
        <v>102</v>
      </c>
      <c r="I19" s="10"/>
      <c r="L19" s="10"/>
      <c r="M19" s="10"/>
      <c r="N19" s="10"/>
      <c r="O19" s="10"/>
      <c r="P19" s="10"/>
      <c r="Q19" s="10"/>
      <c r="R19" s="10"/>
    </row>
    <row r="20" spans="1:18" x14ac:dyDescent="0.25">
      <c r="A20" s="6">
        <v>0</v>
      </c>
      <c r="B20" s="10">
        <v>2707.34</v>
      </c>
      <c r="C20" s="6">
        <v>0</v>
      </c>
      <c r="D20" s="10">
        <v>0</v>
      </c>
      <c r="E20" s="10">
        <f t="shared" ref="E20:E27" si="6">D20-B20-C20</f>
        <v>-2707.34</v>
      </c>
      <c r="F20" s="10">
        <f>B20/(1+$B$1)^$A20+C20/(1+$B$1)^$A20</f>
        <v>2707.34</v>
      </c>
      <c r="G20" s="10">
        <f t="shared" ref="G20:G27" si="7">D20/(1+$B$1)^$A20</f>
        <v>0</v>
      </c>
      <c r="H20" s="10">
        <f>G20-F20</f>
        <v>-2707.34</v>
      </c>
      <c r="I20" s="10"/>
      <c r="K20" s="6">
        <f>E20/(1+$B$1)^(A20)</f>
        <v>-2707.34</v>
      </c>
      <c r="L20" s="10"/>
      <c r="M20" s="10"/>
      <c r="N20" s="10"/>
      <c r="O20" s="10"/>
      <c r="P20" s="10"/>
      <c r="Q20" s="10"/>
      <c r="R20" s="10"/>
    </row>
    <row r="21" spans="1:18" x14ac:dyDescent="0.25">
      <c r="A21" s="6">
        <v>1</v>
      </c>
      <c r="B21" s="10">
        <v>320.15999999999997</v>
      </c>
      <c r="C21" s="6">
        <v>0</v>
      </c>
      <c r="D21" s="10">
        <v>0</v>
      </c>
      <c r="E21" s="10">
        <f t="shared" si="6"/>
        <v>-320.15999999999997</v>
      </c>
      <c r="F21" s="10">
        <f t="shared" ref="F21:F27" si="8">B21/(1+$B$1)^$A21+C21/(1+$B$1)^$A21</f>
        <v>296.4444444444444</v>
      </c>
      <c r="G21" s="10">
        <f t="shared" si="7"/>
        <v>0</v>
      </c>
      <c r="H21" s="10">
        <f>G21-F21</f>
        <v>-296.4444444444444</v>
      </c>
      <c r="I21" s="10"/>
      <c r="K21" s="6">
        <f t="shared" ref="K21:K27" si="9">E21/(1+$B$1)^(A21)</f>
        <v>-296.4444444444444</v>
      </c>
      <c r="L21" s="10"/>
      <c r="M21" s="10"/>
      <c r="N21" s="10"/>
      <c r="O21" s="10"/>
      <c r="P21" s="10"/>
      <c r="Q21" s="10"/>
      <c r="R21" s="10"/>
    </row>
    <row r="22" spans="1:18" x14ac:dyDescent="0.25">
      <c r="A22" s="6">
        <v>5</v>
      </c>
      <c r="B22" s="6">
        <v>441.2</v>
      </c>
      <c r="C22" s="6">
        <f>750.215+224.759*Laskuri!$B$13-1.873*Laskuri!$B$13^2</f>
        <v>1827.1849999999997</v>
      </c>
      <c r="D22" s="10">
        <f>Työkaluvälilehti!$B$10*(A22-A21)*Työkaluvälilehti!$B$2</f>
        <v>2510.2560000000003</v>
      </c>
      <c r="E22" s="10">
        <f t="shared" si="6"/>
        <v>241.87100000000078</v>
      </c>
      <c r="F22" s="10">
        <f>B22/(1+$B$1)^$A22+C22/(1+$B$1)^$A22</f>
        <v>1543.8247154034098</v>
      </c>
      <c r="G22" s="10">
        <f t="shared" si="7"/>
        <v>1708.4380538531609</v>
      </c>
      <c r="H22" s="10">
        <f t="shared" ref="H22:H26" si="10">G22-F22</f>
        <v>164.61333844975115</v>
      </c>
      <c r="I22" s="10"/>
      <c r="K22" s="6">
        <f t="shared" si="9"/>
        <v>164.61333844975141</v>
      </c>
      <c r="L22" s="10"/>
      <c r="M22" s="10"/>
      <c r="N22" s="10"/>
      <c r="O22" s="10"/>
      <c r="P22" s="10"/>
      <c r="Q22" s="10"/>
      <c r="R22" s="10"/>
    </row>
    <row r="23" spans="1:18" x14ac:dyDescent="0.25">
      <c r="A23" s="6">
        <v>9</v>
      </c>
      <c r="B23" s="6">
        <v>441.2</v>
      </c>
      <c r="C23" s="6">
        <f>750.215+224.759*Laskuri!$B$13-1.873*Laskuri!$B$13^2</f>
        <v>1827.1849999999997</v>
      </c>
      <c r="D23" s="10">
        <f>Työkaluvälilehti!$B$10*(A23-A22)*Työkaluvälilehti!$B$2</f>
        <v>2510.2560000000003</v>
      </c>
      <c r="E23" s="10">
        <f t="shared" si="6"/>
        <v>241.87100000000078</v>
      </c>
      <c r="F23" s="10">
        <f>B23/(1+$B$1)^$A23+C23/(1+$B$1)^$A23</f>
        <v>1134.7572533064945</v>
      </c>
      <c r="G23" s="10">
        <f t="shared" si="7"/>
        <v>1255.7529712355479</v>
      </c>
      <c r="H23" s="10">
        <f t="shared" si="10"/>
        <v>120.9957179290534</v>
      </c>
      <c r="I23" s="10"/>
      <c r="K23" s="6">
        <f t="shared" si="9"/>
        <v>120.99571792905351</v>
      </c>
      <c r="L23" s="10"/>
      <c r="M23" s="10"/>
      <c r="N23" s="10"/>
      <c r="O23" s="10"/>
      <c r="P23" s="10"/>
      <c r="Q23" s="10"/>
      <c r="R23" s="10"/>
    </row>
    <row r="24" spans="1:18" x14ac:dyDescent="0.25">
      <c r="A24" s="6">
        <v>13</v>
      </c>
      <c r="B24" s="6">
        <v>441.2</v>
      </c>
      <c r="C24" s="6">
        <f>750.215+224.759*Laskuri!$B$13-1.873*Laskuri!$B$13^2</f>
        <v>1827.1849999999997</v>
      </c>
      <c r="D24" s="10">
        <f>Työkaluvälilehti!$B$10*(A24-A23)*Työkaluvälilehti!$B$2</f>
        <v>2510.2560000000003</v>
      </c>
      <c r="E24" s="10">
        <f t="shared" si="6"/>
        <v>241.87100000000078</v>
      </c>
      <c r="F24" s="10">
        <f>B24/(1+$B$1)^$A24+C24/(1+$B$1)^$A24</f>
        <v>834.08045685758043</v>
      </c>
      <c r="G24" s="10">
        <f t="shared" si="7"/>
        <v>923.01592159597374</v>
      </c>
      <c r="H24" s="10">
        <f t="shared" si="10"/>
        <v>88.935464738393307</v>
      </c>
      <c r="I24" s="10"/>
      <c r="K24" s="6">
        <f t="shared" si="9"/>
        <v>88.935464738393392</v>
      </c>
      <c r="L24" s="10"/>
      <c r="M24" s="10"/>
      <c r="N24" s="10"/>
      <c r="O24" s="10"/>
      <c r="P24" s="10"/>
      <c r="Q24" s="10"/>
      <c r="R24" s="10"/>
    </row>
    <row r="25" spans="1:18" x14ac:dyDescent="0.25">
      <c r="A25" s="6">
        <v>17</v>
      </c>
      <c r="B25" s="6">
        <v>441.2</v>
      </c>
      <c r="C25" s="6">
        <f>750.215+224.759*Laskuri!$B$13-1.873*Laskuri!$B$13^2</f>
        <v>1827.1849999999997</v>
      </c>
      <c r="D25" s="10">
        <f>Työkaluvälilehti!$B$10*(A25-A24)*Työkaluvälilehti!$B$2</f>
        <v>2510.2560000000003</v>
      </c>
      <c r="E25" s="10">
        <f t="shared" si="6"/>
        <v>241.87100000000078</v>
      </c>
      <c r="F25" s="10">
        <f t="shared" si="8"/>
        <v>613.0740354244258</v>
      </c>
      <c r="G25" s="10">
        <f t="shared" si="7"/>
        <v>678.44425697947122</v>
      </c>
      <c r="H25" s="10">
        <f t="shared" si="10"/>
        <v>65.370221555045418</v>
      </c>
      <c r="I25" s="10"/>
      <c r="K25" s="6">
        <f t="shared" si="9"/>
        <v>65.370221555045447</v>
      </c>
      <c r="L25" s="10"/>
      <c r="M25" s="10"/>
      <c r="N25" s="10"/>
      <c r="O25" s="10"/>
      <c r="P25" s="10"/>
      <c r="Q25" s="10"/>
      <c r="R25" s="10"/>
    </row>
    <row r="26" spans="1:18" x14ac:dyDescent="0.25">
      <c r="A26" s="6">
        <v>21</v>
      </c>
      <c r="B26" s="10">
        <v>59</v>
      </c>
      <c r="C26" s="6">
        <f>750.215+224.759*Laskuri!$B$13-1.873*Laskuri!$B$13^2</f>
        <v>1827.1849999999997</v>
      </c>
      <c r="D26" s="10">
        <f>Työkaluvälilehti!$B$10*(A26-A25)*Työkaluvälilehti!$B$2</f>
        <v>2510.2560000000003</v>
      </c>
      <c r="E26" s="10">
        <f t="shared" si="6"/>
        <v>624.07100000000059</v>
      </c>
      <c r="F26" s="10">
        <f t="shared" si="8"/>
        <v>374.70149128001879</v>
      </c>
      <c r="G26" s="10">
        <f t="shared" si="7"/>
        <v>498.67678233821982</v>
      </c>
      <c r="H26" s="10">
        <f t="shared" si="10"/>
        <v>123.97529105820104</v>
      </c>
      <c r="I26" s="10"/>
      <c r="K26" s="6">
        <f t="shared" si="9"/>
        <v>123.97529105820101</v>
      </c>
      <c r="L26" s="10"/>
      <c r="M26" s="10"/>
      <c r="N26" s="10"/>
      <c r="O26" s="10"/>
      <c r="P26" s="10"/>
      <c r="Q26" s="10"/>
      <c r="R26" s="10"/>
    </row>
    <row r="27" spans="1:18" x14ac:dyDescent="0.25">
      <c r="A27" s="6">
        <v>22</v>
      </c>
      <c r="B27" s="10">
        <v>400.56279999999998</v>
      </c>
      <c r="C27" s="6">
        <v>0</v>
      </c>
      <c r="D27" s="10">
        <v>0</v>
      </c>
      <c r="E27" s="10">
        <f t="shared" si="6"/>
        <v>-400.56279999999998</v>
      </c>
      <c r="F27" s="10">
        <f t="shared" si="8"/>
        <v>73.679724530820991</v>
      </c>
      <c r="G27" s="10">
        <f t="shared" si="7"/>
        <v>0</v>
      </c>
      <c r="H27" s="10">
        <f>G27-F27</f>
        <v>-73.679724530820991</v>
      </c>
      <c r="I27" s="10"/>
      <c r="K27" s="6">
        <f t="shared" si="9"/>
        <v>-73.679724530820991</v>
      </c>
      <c r="L27" s="10"/>
      <c r="M27" s="10"/>
      <c r="N27" s="10"/>
      <c r="O27" s="10"/>
      <c r="P27" s="10"/>
      <c r="Q27" s="10"/>
      <c r="R27" s="10"/>
    </row>
    <row r="28" spans="1:18" x14ac:dyDescent="0.25">
      <c r="A28" s="6" t="s">
        <v>103</v>
      </c>
      <c r="B28" s="10" t="s">
        <v>96</v>
      </c>
      <c r="C28" s="6" t="s">
        <v>97</v>
      </c>
      <c r="D28" s="10" t="s">
        <v>98</v>
      </c>
      <c r="E28" s="10" t="s">
        <v>99</v>
      </c>
      <c r="F28" s="10" t="s">
        <v>100</v>
      </c>
      <c r="G28" s="10" t="s">
        <v>101</v>
      </c>
      <c r="H28" s="10" t="s">
        <v>102</v>
      </c>
      <c r="I28" s="10" t="s">
        <v>83</v>
      </c>
      <c r="L28" s="10"/>
      <c r="M28" s="10"/>
      <c r="N28" s="10"/>
      <c r="O28" s="10"/>
      <c r="P28" s="10"/>
      <c r="Q28" s="10"/>
      <c r="R28" s="10"/>
    </row>
    <row r="29" spans="1:18" x14ac:dyDescent="0.25">
      <c r="B29" s="10">
        <f>SUM(B20:B27)</f>
        <v>5251.862799999999</v>
      </c>
      <c r="C29" s="10">
        <f>SUM(C20:C27)</f>
        <v>9135.9249999999993</v>
      </c>
      <c r="D29" s="10">
        <f>SUM(D20:D27)</f>
        <v>12551.280000000002</v>
      </c>
      <c r="E29" s="10">
        <f>SUM(E20:E27)</f>
        <v>-1836.5077999999953</v>
      </c>
      <c r="F29" s="10">
        <f>SUM(F20:F27)</f>
        <v>7577.9021212471944</v>
      </c>
      <c r="G29" s="10">
        <f t="shared" ref="G29" si="11">SUM(G20:G27)</f>
        <v>5064.3279860023731</v>
      </c>
      <c r="H29" s="10">
        <f>SUM(H20:H27)</f>
        <v>-2513.5741352448208</v>
      </c>
      <c r="I29" s="10">
        <f>H29/(1-(1/(1+$B$1))^(A27))</f>
        <v>-3080.1358931664136</v>
      </c>
      <c r="K29" s="6">
        <f>SUM(K20:K27)</f>
        <v>-2513.5741352448204</v>
      </c>
      <c r="L29" s="10"/>
      <c r="M29" s="10"/>
      <c r="N29" s="10"/>
      <c r="O29" s="10"/>
      <c r="P29" s="10"/>
      <c r="Q29" s="10"/>
      <c r="R29" s="10"/>
    </row>
    <row r="30" spans="1:18" x14ac:dyDescent="0.25">
      <c r="B30" s="10" t="s">
        <v>104</v>
      </c>
      <c r="C30" s="10">
        <v>1436.0586439748142</v>
      </c>
      <c r="D30" s="10"/>
      <c r="E30" s="10"/>
      <c r="F30" s="10"/>
      <c r="G30" s="10"/>
      <c r="H30" s="10"/>
      <c r="L30" s="10"/>
      <c r="M30" s="10"/>
      <c r="N30" s="10"/>
      <c r="O30" s="10"/>
      <c r="P30" s="10"/>
      <c r="Q30" s="10"/>
      <c r="R30" s="10"/>
    </row>
    <row r="31" spans="1:18" x14ac:dyDescent="0.25">
      <c r="A31" s="6" t="s">
        <v>106</v>
      </c>
      <c r="B31" s="10"/>
      <c r="C31" s="10"/>
      <c r="D31" s="10"/>
      <c r="E31" s="10"/>
      <c r="F31" s="10"/>
      <c r="G31" s="10"/>
      <c r="H31" s="10"/>
      <c r="L31" s="10"/>
      <c r="M31" s="10"/>
      <c r="N31" s="10"/>
      <c r="O31" s="10"/>
      <c r="P31" s="10"/>
      <c r="Q31" s="10"/>
      <c r="R31" s="10"/>
    </row>
    <row r="32" spans="1:18" x14ac:dyDescent="0.25">
      <c r="A32" s="6" t="s">
        <v>78</v>
      </c>
      <c r="B32" s="10" t="s">
        <v>107</v>
      </c>
      <c r="C32" s="10" t="s">
        <v>98</v>
      </c>
      <c r="D32" s="10" t="s">
        <v>99</v>
      </c>
      <c r="E32" s="10" t="s">
        <v>100</v>
      </c>
      <c r="F32" s="10" t="s">
        <v>101</v>
      </c>
      <c r="G32" s="10" t="s">
        <v>102</v>
      </c>
      <c r="H32" s="10"/>
      <c r="L32" s="10"/>
      <c r="M32" s="10"/>
      <c r="N32" s="10"/>
      <c r="O32" s="10"/>
      <c r="P32" s="10"/>
      <c r="Q32" s="10"/>
      <c r="R32" s="10"/>
    </row>
    <row r="33" spans="1:18" x14ac:dyDescent="0.25">
      <c r="A33" s="6">
        <v>0</v>
      </c>
      <c r="B33" s="10">
        <v>370</v>
      </c>
      <c r="C33" s="10">
        <v>0</v>
      </c>
      <c r="D33" s="10">
        <f>C33-B33</f>
        <v>-370</v>
      </c>
      <c r="E33" s="10">
        <f>B33/(1+$B$1)^$A33</f>
        <v>370</v>
      </c>
      <c r="F33" s="10">
        <f>C33/(1+$B$1)^$A33</f>
        <v>0</v>
      </c>
      <c r="G33" s="10">
        <f>F33-E33</f>
        <v>-370</v>
      </c>
      <c r="H33" s="10"/>
      <c r="L33" s="10"/>
      <c r="M33" s="10"/>
      <c r="N33" s="10"/>
      <c r="O33" s="10"/>
      <c r="P33" s="10"/>
      <c r="Q33" s="10"/>
      <c r="R33" s="10"/>
    </row>
    <row r="34" spans="1:18" x14ac:dyDescent="0.25">
      <c r="A34" s="6">
        <v>22</v>
      </c>
      <c r="B34" s="10">
        <v>4633.3675838602585</v>
      </c>
      <c r="C34" s="10" t="e">
        <f>Työkaluvälilehti!$B$2*('8 % korko'!A34-'8 % korko'!A33)*Työkaluvälilehti!$B$11</f>
        <v>#REF!</v>
      </c>
      <c r="D34" s="10" t="e">
        <f t="shared" ref="D34:D36" si="12">C34-B34</f>
        <v>#REF!</v>
      </c>
      <c r="E34" s="10">
        <f>B34/(1+$B$1)^$A34</f>
        <v>852.26398264856209</v>
      </c>
      <c r="F34" s="10" t="e">
        <f>C34/(1+$B$1)^$A34</f>
        <v>#REF!</v>
      </c>
      <c r="G34" s="10" t="e">
        <f>F34-E34</f>
        <v>#REF!</v>
      </c>
      <c r="H34" s="10"/>
      <c r="L34" s="10"/>
      <c r="M34" s="10"/>
      <c r="N34" s="10"/>
      <c r="O34" s="10"/>
      <c r="P34" s="10"/>
      <c r="Q34" s="10"/>
      <c r="R34" s="10"/>
    </row>
    <row r="35" spans="1:18" x14ac:dyDescent="0.25">
      <c r="A35" s="6">
        <v>43</v>
      </c>
      <c r="B35" s="10">
        <v>4633.3675838602585</v>
      </c>
      <c r="C35" s="10" t="e">
        <f>Työkaluvälilehti!$B$2*('8 % korko'!A35-'8 % korko'!A34)*Työkaluvälilehti!$B$11</f>
        <v>#REF!</v>
      </c>
      <c r="D35" s="10" t="e">
        <f t="shared" si="12"/>
        <v>#REF!</v>
      </c>
      <c r="E35" s="10">
        <f t="shared" ref="E35:F36" si="13">B35/(1+$B$1)^$A35</f>
        <v>169.30713862249164</v>
      </c>
      <c r="F35" s="10" t="e">
        <f t="shared" si="13"/>
        <v>#REF!</v>
      </c>
      <c r="G35" s="10" t="e">
        <f t="shared" ref="G35:G36" si="14">F35-E35</f>
        <v>#REF!</v>
      </c>
      <c r="H35" s="10"/>
      <c r="L35" s="10"/>
      <c r="M35" s="10"/>
      <c r="N35" s="10"/>
      <c r="O35" s="10"/>
      <c r="P35" s="10"/>
      <c r="Q35" s="10"/>
      <c r="R35" s="10"/>
    </row>
    <row r="36" spans="1:18" x14ac:dyDescent="0.25">
      <c r="A36" s="6">
        <v>64</v>
      </c>
      <c r="B36" s="10">
        <v>5114.3867476233245</v>
      </c>
      <c r="C36" s="10" t="e">
        <f>Työkaluvälilehti!$B$2*('8 % korko'!A36-'8 % korko'!A35)*Työkaluvälilehti!$B$11</f>
        <v>#REF!</v>
      </c>
      <c r="D36" s="10" t="e">
        <f t="shared" si="12"/>
        <v>#REF!</v>
      </c>
      <c r="E36" s="10">
        <f t="shared" si="13"/>
        <v>37.125577239771189</v>
      </c>
      <c r="F36" s="10" t="e">
        <f t="shared" si="13"/>
        <v>#REF!</v>
      </c>
      <c r="G36" s="10" t="e">
        <f t="shared" si="14"/>
        <v>#REF!</v>
      </c>
      <c r="H36" s="10"/>
      <c r="L36" s="10"/>
      <c r="M36" s="10"/>
      <c r="N36" s="10"/>
      <c r="O36" s="10"/>
      <c r="P36" s="10"/>
      <c r="Q36" s="10"/>
      <c r="R36" s="10"/>
    </row>
    <row r="37" spans="1:18" x14ac:dyDescent="0.25">
      <c r="A37" s="6">
        <v>86</v>
      </c>
      <c r="B37" s="10">
        <v>4633.3675838602585</v>
      </c>
      <c r="C37" s="10" t="e">
        <f>Työkaluvälilehti!$B$2*('8 % korko'!A37-'8 % korko'!A36)*Työkaluvälilehti!$B$11</f>
        <v>#REF!</v>
      </c>
      <c r="D37" s="10" t="e">
        <f>C37-B37</f>
        <v>#REF!</v>
      </c>
      <c r="E37" s="10">
        <f>B37/(1+$B$1)^$A37</f>
        <v>6.186624883461894</v>
      </c>
      <c r="F37" s="10" t="e">
        <f>C37/(1+$B$1)^$A37</f>
        <v>#REF!</v>
      </c>
      <c r="G37" s="10" t="e">
        <f>F37-E37</f>
        <v>#REF!</v>
      </c>
      <c r="H37" s="10"/>
      <c r="L37" s="10"/>
      <c r="M37" s="10"/>
      <c r="N37" s="10"/>
      <c r="O37" s="10"/>
      <c r="P37" s="10"/>
      <c r="Q37" s="10"/>
      <c r="R37" s="10"/>
    </row>
    <row r="38" spans="1:18" x14ac:dyDescent="0.25">
      <c r="A38" s="6" t="s">
        <v>103</v>
      </c>
      <c r="B38" s="10" t="s">
        <v>107</v>
      </c>
      <c r="C38" s="10" t="s">
        <v>98</v>
      </c>
      <c r="D38" s="10" t="s">
        <v>99</v>
      </c>
      <c r="E38" s="10" t="s">
        <v>100</v>
      </c>
      <c r="F38" s="10" t="s">
        <v>101</v>
      </c>
      <c r="G38" s="10" t="s">
        <v>102</v>
      </c>
      <c r="H38" s="10" t="s">
        <v>83</v>
      </c>
      <c r="L38" s="10"/>
      <c r="M38" s="10"/>
      <c r="N38" s="10"/>
      <c r="O38" s="10"/>
      <c r="P38" s="10"/>
      <c r="Q38" s="10"/>
      <c r="R38" s="10"/>
    </row>
    <row r="39" spans="1:18" x14ac:dyDescent="0.25">
      <c r="B39" s="10">
        <f t="shared" ref="B39:G39" si="15">SUM(B33:B37)</f>
        <v>19384.489499204101</v>
      </c>
      <c r="C39" s="10" t="e">
        <f t="shared" si="15"/>
        <v>#REF!</v>
      </c>
      <c r="D39" s="10" t="e">
        <f t="shared" si="15"/>
        <v>#REF!</v>
      </c>
      <c r="E39" s="10">
        <f t="shared" si="15"/>
        <v>1434.8833233942869</v>
      </c>
      <c r="F39" s="10" t="e">
        <f t="shared" si="15"/>
        <v>#REF!</v>
      </c>
      <c r="G39" s="10" t="e">
        <f t="shared" si="15"/>
        <v>#REF!</v>
      </c>
      <c r="H39" s="10" t="e">
        <f>G33+G34+G35+G36+G37/(1-EXP(-$B$1*A37))</f>
        <v>#REF!</v>
      </c>
      <c r="L39" s="10"/>
      <c r="M39" s="10"/>
      <c r="N39" s="10"/>
      <c r="O39" s="10"/>
      <c r="P39" s="10"/>
      <c r="Q39" s="10"/>
      <c r="R39" s="10"/>
    </row>
    <row r="40" spans="1:18" x14ac:dyDescent="0.25">
      <c r="B40" s="10"/>
      <c r="C40" s="10"/>
      <c r="D40" s="10"/>
      <c r="E40" s="10"/>
      <c r="F40" s="10"/>
      <c r="G40" s="10"/>
      <c r="H40" s="10"/>
      <c r="L40" s="10"/>
      <c r="M40" s="10"/>
      <c r="N40" s="10"/>
      <c r="O40" s="10"/>
      <c r="P40" s="10"/>
      <c r="Q40" s="10"/>
      <c r="R40" s="10"/>
    </row>
    <row r="41" spans="1:18" x14ac:dyDescent="0.25">
      <c r="B41" s="10"/>
      <c r="C41" s="10"/>
      <c r="D41" s="10"/>
      <c r="E41" s="10"/>
      <c r="F41" s="10"/>
      <c r="G41" s="10"/>
      <c r="H41" s="10"/>
      <c r="L41" s="10"/>
      <c r="M41" s="10"/>
      <c r="N41" s="10"/>
      <c r="O41" s="10"/>
      <c r="P41" s="10"/>
      <c r="Q41" s="10"/>
      <c r="R41" s="10"/>
    </row>
    <row r="42" spans="1:18" x14ac:dyDescent="0.25">
      <c r="B42" s="10" t="s">
        <v>104</v>
      </c>
      <c r="C42" s="10">
        <v>2803.0909820774596</v>
      </c>
      <c r="D42" s="10"/>
      <c r="E42" s="10"/>
      <c r="F42" s="10"/>
      <c r="G42" s="10"/>
      <c r="H42" s="10"/>
      <c r="L42" s="10"/>
      <c r="M42" s="10"/>
      <c r="N42" s="10"/>
      <c r="O42" s="10"/>
      <c r="P42" s="10"/>
      <c r="Q42" s="10"/>
      <c r="R42" s="10"/>
    </row>
    <row r="43" spans="1:18" x14ac:dyDescent="0.25">
      <c r="A43" s="1" t="s">
        <v>126</v>
      </c>
      <c r="B43" s="10"/>
      <c r="C43" s="10"/>
      <c r="D43" s="10"/>
      <c r="E43" s="10"/>
      <c r="F43" s="10"/>
      <c r="G43" s="10"/>
      <c r="H43" s="10"/>
      <c r="L43" s="10"/>
      <c r="M43" s="10"/>
      <c r="N43" s="10"/>
      <c r="O43" s="10"/>
      <c r="P43" s="10"/>
      <c r="Q43" s="10"/>
      <c r="R43" s="10"/>
    </row>
    <row r="44" spans="1:18" x14ac:dyDescent="0.25">
      <c r="A44" s="6" t="s">
        <v>78</v>
      </c>
      <c r="B44" s="10" t="s">
        <v>107</v>
      </c>
      <c r="C44" s="10" t="s">
        <v>98</v>
      </c>
      <c r="D44" s="10" t="s">
        <v>99</v>
      </c>
      <c r="E44" s="10" t="s">
        <v>100</v>
      </c>
      <c r="F44" s="10" t="s">
        <v>101</v>
      </c>
      <c r="G44" s="10" t="s">
        <v>102</v>
      </c>
      <c r="H44" s="10"/>
      <c r="L44" s="10"/>
      <c r="M44" s="10"/>
      <c r="N44" s="10"/>
      <c r="O44" s="10"/>
      <c r="P44" s="10"/>
      <c r="Q44" s="10"/>
      <c r="R44" s="10"/>
    </row>
    <row r="45" spans="1:18" x14ac:dyDescent="0.25">
      <c r="A45" s="6">
        <v>0</v>
      </c>
      <c r="B45" s="10">
        <v>1241.0517070707067</v>
      </c>
      <c r="C45" s="10">
        <v>0</v>
      </c>
      <c r="D45" s="10">
        <f>C45-B45</f>
        <v>-1241.0517070707067</v>
      </c>
      <c r="E45" s="10">
        <f>B45/(1+$B$1)^$A45</f>
        <v>1241.0517070707067</v>
      </c>
      <c r="F45" s="10">
        <f>C45/(1+$B$1)^$A45</f>
        <v>0</v>
      </c>
      <c r="G45" s="10">
        <f>F45-E45</f>
        <v>-1241.0517070707067</v>
      </c>
      <c r="H45" s="10"/>
      <c r="L45" s="10"/>
      <c r="M45" s="10"/>
      <c r="N45" s="10"/>
      <c r="O45" s="10"/>
      <c r="P45" s="10"/>
      <c r="Q45" s="10"/>
      <c r="R45" s="10"/>
    </row>
    <row r="46" spans="1:18" x14ac:dyDescent="0.25">
      <c r="A46" s="6">
        <v>1</v>
      </c>
      <c r="B46" s="10">
        <v>88.968222222222209</v>
      </c>
      <c r="C46" s="10">
        <v>0</v>
      </c>
      <c r="D46" s="10">
        <f t="shared" ref="D46:D48" si="16">C46-B46</f>
        <v>-88.968222222222209</v>
      </c>
      <c r="E46" s="10">
        <f>B46/(1+$B$1)^$A46</f>
        <v>82.377983539094629</v>
      </c>
      <c r="F46" s="10">
        <f t="shared" ref="F46:F48" si="17">C46/(1+$B$1)^$A46</f>
        <v>0</v>
      </c>
      <c r="G46" s="10">
        <f>F46-E46</f>
        <v>-82.377983539094629</v>
      </c>
      <c r="H46" s="10"/>
      <c r="L46" s="10"/>
      <c r="M46" s="10"/>
      <c r="N46" s="10"/>
      <c r="O46" s="10"/>
      <c r="P46" s="10"/>
      <c r="Q46" s="10"/>
      <c r="R46" s="10"/>
    </row>
    <row r="47" spans="1:18" x14ac:dyDescent="0.25">
      <c r="A47" s="6">
        <v>2</v>
      </c>
      <c r="B47" s="10">
        <v>742.82444444444434</v>
      </c>
      <c r="C47" s="10">
        <f>Työkaluvälilehti!$B$12*(A47-A46)*Työkaluvälilehti!$B$7</f>
        <v>1236</v>
      </c>
      <c r="D47" s="10">
        <f t="shared" si="16"/>
        <v>493.17555555555566</v>
      </c>
      <c r="E47" s="10">
        <f t="shared" ref="E47:F54" si="18">B47/(1+$B$1)^$A47</f>
        <v>636.85223289132739</v>
      </c>
      <c r="F47" s="10">
        <f t="shared" si="17"/>
        <v>1059.670781893004</v>
      </c>
      <c r="G47" s="10">
        <f t="shared" ref="G47:G48" si="19">F47-E47</f>
        <v>422.81854900167662</v>
      </c>
      <c r="H47" s="10"/>
      <c r="L47" s="10"/>
      <c r="M47" s="10"/>
      <c r="N47" s="10"/>
      <c r="O47" s="10"/>
      <c r="P47" s="10"/>
      <c r="Q47" s="10"/>
      <c r="R47" s="10"/>
    </row>
    <row r="48" spans="1:18" x14ac:dyDescent="0.25">
      <c r="A48" s="6">
        <v>3</v>
      </c>
      <c r="B48" s="10">
        <v>742.82444444444434</v>
      </c>
      <c r="C48" s="10">
        <f>Työkaluvälilehti!$B$12*(A48-A47)*Työkaluvälilehti!$B$7</f>
        <v>1236</v>
      </c>
      <c r="D48" s="10">
        <f t="shared" si="16"/>
        <v>493.17555555555566</v>
      </c>
      <c r="E48" s="10">
        <f t="shared" si="18"/>
        <v>589.67799341789566</v>
      </c>
      <c r="F48" s="10">
        <f t="shared" si="17"/>
        <v>981.17664990092965</v>
      </c>
      <c r="G48" s="10">
        <f t="shared" si="19"/>
        <v>391.49865648303398</v>
      </c>
      <c r="H48" s="10"/>
      <c r="L48" s="10"/>
      <c r="M48" s="10"/>
      <c r="N48" s="10"/>
      <c r="O48" s="10"/>
      <c r="P48" s="10"/>
      <c r="Q48" s="10"/>
      <c r="R48" s="10"/>
    </row>
    <row r="49" spans="1:18" x14ac:dyDescent="0.25">
      <c r="A49" s="6">
        <v>4</v>
      </c>
      <c r="B49" s="10">
        <v>742.82444444444434</v>
      </c>
      <c r="C49" s="10">
        <f>Työkaluvälilehti!$B$12*(A49-A48)*Työkaluvälilehti!$B$7</f>
        <v>1236</v>
      </c>
      <c r="D49" s="10">
        <f>C49-B49</f>
        <v>493.17555555555566</v>
      </c>
      <c r="E49" s="10">
        <f t="shared" si="18"/>
        <v>545.99814205360713</v>
      </c>
      <c r="F49" s="10">
        <f t="shared" si="18"/>
        <v>908.49689805641617</v>
      </c>
      <c r="G49" s="10">
        <f>F49-E49</f>
        <v>362.49875600280905</v>
      </c>
      <c r="H49" s="10"/>
      <c r="L49" s="10"/>
      <c r="M49" s="10"/>
      <c r="N49" s="10"/>
      <c r="O49" s="10"/>
      <c r="P49" s="10"/>
      <c r="Q49" s="10"/>
      <c r="R49" s="10"/>
    </row>
    <row r="50" spans="1:18" x14ac:dyDescent="0.25">
      <c r="A50" s="6">
        <v>5</v>
      </c>
      <c r="B50" s="10">
        <v>742.82444444444434</v>
      </c>
      <c r="C50" s="10">
        <f>Työkaluvälilehti!$B$12*(A50-A49)*Työkaluvälilehti!$B$7</f>
        <v>1236</v>
      </c>
      <c r="D50" s="10">
        <f>C50-B50</f>
        <v>493.17555555555566</v>
      </c>
      <c r="E50" s="10">
        <f t="shared" si="18"/>
        <v>505.55383523482141</v>
      </c>
      <c r="F50" s="10">
        <f t="shared" si="18"/>
        <v>841.20083153371877</v>
      </c>
      <c r="G50" s="10">
        <f>F50-E50</f>
        <v>335.64699629889736</v>
      </c>
      <c r="H50" s="10"/>
      <c r="L50" s="10"/>
      <c r="M50" s="10"/>
      <c r="N50" s="10"/>
      <c r="O50" s="10"/>
      <c r="P50" s="10"/>
      <c r="Q50" s="10"/>
      <c r="R50" s="10"/>
    </row>
    <row r="51" spans="1:18" x14ac:dyDescent="0.25">
      <c r="A51" s="6">
        <v>6</v>
      </c>
      <c r="B51" s="10">
        <v>742.82444444444434</v>
      </c>
      <c r="C51" s="10">
        <f>Työkaluvälilehti!$B$12*(A51-A50)*Työkaluvälilehti!$B$7</f>
        <v>1236</v>
      </c>
      <c r="D51" s="10">
        <f>C51-B51</f>
        <v>493.17555555555566</v>
      </c>
      <c r="E51" s="10">
        <f t="shared" si="18"/>
        <v>468.10540299520494</v>
      </c>
      <c r="F51" s="10">
        <f t="shared" si="18"/>
        <v>778.88965882751722</v>
      </c>
      <c r="G51" s="10">
        <f>F51-E51</f>
        <v>310.78425583231228</v>
      </c>
      <c r="H51" s="10"/>
      <c r="L51" s="10"/>
      <c r="M51" s="10"/>
      <c r="N51" s="10"/>
      <c r="O51" s="10"/>
      <c r="P51" s="10"/>
      <c r="Q51" s="10"/>
      <c r="R51" s="10"/>
    </row>
    <row r="52" spans="1:18" x14ac:dyDescent="0.25">
      <c r="A52" s="6">
        <v>7</v>
      </c>
      <c r="B52" s="10">
        <v>742.82444444444434</v>
      </c>
      <c r="C52" s="10">
        <f>Työkaluvälilehti!$B$12*(A52-A51)*Työkaluvälilehti!$B$7</f>
        <v>1236</v>
      </c>
      <c r="D52" s="10">
        <f t="shared" ref="D52:D53" si="20">C52-B52</f>
        <v>493.17555555555566</v>
      </c>
      <c r="E52" s="10">
        <f>B52/(1+$B$1)^$A52</f>
        <v>433.4309286992638</v>
      </c>
      <c r="F52" s="10">
        <f t="shared" si="18"/>
        <v>721.19412854399741</v>
      </c>
      <c r="G52" s="10">
        <f>F52-E52</f>
        <v>287.76319984473361</v>
      </c>
      <c r="H52" s="10"/>
      <c r="L52" s="10"/>
      <c r="M52" s="10"/>
      <c r="N52" s="10"/>
      <c r="O52" s="10"/>
      <c r="P52" s="10"/>
      <c r="Q52" s="10"/>
      <c r="R52" s="10"/>
    </row>
    <row r="53" spans="1:18" x14ac:dyDescent="0.25">
      <c r="A53" s="6">
        <v>8</v>
      </c>
      <c r="B53" s="10">
        <v>742.82444444444434</v>
      </c>
      <c r="C53" s="10">
        <f>Työkaluvälilehti!$B$12*(A53-A52)*Työkaluvälilehti!$B$7</f>
        <v>1236</v>
      </c>
      <c r="D53" s="10">
        <f t="shared" si="20"/>
        <v>493.17555555555566</v>
      </c>
      <c r="E53" s="10">
        <f t="shared" ref="E53" si="21">B53/(1+$B$1)^$A53</f>
        <v>401.32493398079981</v>
      </c>
      <c r="F53" s="10">
        <f t="shared" si="18"/>
        <v>667.77234124444203</v>
      </c>
      <c r="G53" s="10">
        <f t="shared" ref="G53:G54" si="22">F53-E53</f>
        <v>266.44740726364222</v>
      </c>
      <c r="H53" s="10"/>
      <c r="L53" s="10"/>
      <c r="M53" s="10"/>
      <c r="N53" s="10"/>
      <c r="O53" s="10"/>
      <c r="P53" s="10"/>
      <c r="Q53" s="10"/>
      <c r="R53" s="10"/>
    </row>
    <row r="54" spans="1:18" x14ac:dyDescent="0.25">
      <c r="A54" s="6">
        <v>9</v>
      </c>
      <c r="B54" s="10">
        <v>742.82444444444434</v>
      </c>
      <c r="C54" s="10">
        <f>Työkaluvälilehti!$B$12*(A54-A53)*Työkaluvälilehti!$B$7</f>
        <v>1236</v>
      </c>
      <c r="D54" s="10">
        <f>C54-B54</f>
        <v>493.17555555555566</v>
      </c>
      <c r="E54" s="10">
        <f>B54/(1+$B$1)^$A54</f>
        <v>371.59716109333311</v>
      </c>
      <c r="F54" s="10">
        <f t="shared" si="18"/>
        <v>618.30772337448332</v>
      </c>
      <c r="G54" s="10">
        <f t="shared" si="22"/>
        <v>246.7105622811502</v>
      </c>
      <c r="H54" s="10"/>
      <c r="L54" s="10"/>
      <c r="M54" s="10"/>
      <c r="N54" s="10"/>
      <c r="O54" s="10"/>
      <c r="P54" s="10"/>
      <c r="Q54" s="10"/>
      <c r="R54" s="10"/>
    </row>
    <row r="55" spans="1:18" x14ac:dyDescent="0.25">
      <c r="A55" s="6">
        <v>10</v>
      </c>
      <c r="B55" s="10">
        <v>773.1708010335916</v>
      </c>
      <c r="C55" s="10">
        <f>Työkaluvälilehti!$B$12*(A55-A54)*Työkaluvälilehti!$B$7</f>
        <v>1236</v>
      </c>
      <c r="D55" s="10">
        <f>C55-B55</f>
        <v>462.8291989664084</v>
      </c>
      <c r="E55" s="10">
        <f>B55/(1+$B$1)^$A55</f>
        <v>358.12768021597867</v>
      </c>
      <c r="F55" s="10">
        <f>C55/(1+$B$1)^$A55</f>
        <v>572.50715127266972</v>
      </c>
      <c r="G55" s="10">
        <f>F55-E55</f>
        <v>214.37947105669105</v>
      </c>
      <c r="H55" s="10"/>
      <c r="L55" s="10"/>
      <c r="M55" s="10"/>
      <c r="N55" s="10"/>
      <c r="O55" s="10"/>
      <c r="P55" s="10"/>
      <c r="Q55" s="10"/>
      <c r="R55" s="10"/>
    </row>
    <row r="56" spans="1:18" x14ac:dyDescent="0.25">
      <c r="A56" s="6" t="s">
        <v>103</v>
      </c>
      <c r="B56" s="10" t="s">
        <v>107</v>
      </c>
      <c r="C56" s="10" t="s">
        <v>98</v>
      </c>
      <c r="D56" s="10" t="s">
        <v>99</v>
      </c>
      <c r="E56" s="10" t="s">
        <v>100</v>
      </c>
      <c r="F56" s="10" t="s">
        <v>101</v>
      </c>
      <c r="G56" s="10" t="s">
        <v>102</v>
      </c>
      <c r="H56" s="10" t="s">
        <v>83</v>
      </c>
      <c r="L56" s="10"/>
      <c r="M56" s="10"/>
      <c r="N56" s="10"/>
      <c r="O56" s="10"/>
      <c r="P56" s="10"/>
      <c r="Q56" s="10"/>
      <c r="R56" s="10"/>
    </row>
    <row r="57" spans="1:18" x14ac:dyDescent="0.25">
      <c r="B57" s="10">
        <f>SUM(B45:B55)</f>
        <v>8045.7862858820754</v>
      </c>
      <c r="C57" s="10">
        <f t="shared" ref="C57" si="23">SUM(C45:C55)</f>
        <v>11124</v>
      </c>
      <c r="D57" s="10">
        <f>SUM(D45:D55)</f>
        <v>3078.2137141179246</v>
      </c>
      <c r="E57" s="10">
        <f>SUM(E45:E55)</f>
        <v>5634.0980011920328</v>
      </c>
      <c r="F57" s="10">
        <f>SUM(F45:F55)</f>
        <v>7149.2161646471786</v>
      </c>
      <c r="G57" s="10">
        <f>SUM(G45:G55)</f>
        <v>1515.1181634551451</v>
      </c>
      <c r="H57" s="10">
        <f>G57/(1-(1/(1+$B$1))^(A55))</f>
        <v>2822.4660651921508</v>
      </c>
      <c r="L57" s="10"/>
      <c r="M57" s="10"/>
      <c r="N57" s="10"/>
      <c r="O57" s="10"/>
      <c r="P57" s="10"/>
      <c r="Q57" s="10"/>
      <c r="R57" s="10"/>
    </row>
    <row r="58" spans="1:18" x14ac:dyDescent="0.25">
      <c r="B58" s="10" t="s">
        <v>104</v>
      </c>
      <c r="C58" s="10">
        <v>1641.4215478428662</v>
      </c>
      <c r="D58" s="10"/>
      <c r="E58" s="10"/>
      <c r="F58" s="10"/>
      <c r="G58" s="10"/>
      <c r="H58" s="10"/>
      <c r="L58" s="10"/>
      <c r="M58" s="10"/>
      <c r="N58" s="10"/>
      <c r="O58" s="10"/>
      <c r="P58" s="10"/>
      <c r="Q58" s="10"/>
      <c r="R58" s="10"/>
    </row>
    <row r="59" spans="1:18" x14ac:dyDescent="0.25">
      <c r="A59" s="1" t="s">
        <v>127</v>
      </c>
      <c r="B59" s="10"/>
      <c r="C59" s="10"/>
      <c r="D59" s="10"/>
      <c r="E59" s="10"/>
      <c r="F59" s="10"/>
      <c r="G59" s="10"/>
      <c r="H59" s="10"/>
      <c r="L59" s="10"/>
      <c r="M59" s="10"/>
      <c r="N59" s="10"/>
      <c r="O59" s="10"/>
      <c r="P59" s="10"/>
      <c r="Q59" s="10"/>
      <c r="R59" s="10"/>
    </row>
    <row r="60" spans="1:18" x14ac:dyDescent="0.25">
      <c r="A60" s="6" t="s">
        <v>78</v>
      </c>
      <c r="B60" s="10" t="s">
        <v>107</v>
      </c>
      <c r="C60" s="10" t="s">
        <v>98</v>
      </c>
      <c r="D60" s="10" t="s">
        <v>99</v>
      </c>
      <c r="E60" s="10" t="s">
        <v>100</v>
      </c>
      <c r="F60" s="10" t="s">
        <v>101</v>
      </c>
      <c r="G60" s="10" t="s">
        <v>102</v>
      </c>
      <c r="H60" s="10"/>
      <c r="L60" s="10"/>
      <c r="M60" s="10"/>
      <c r="N60" s="10"/>
      <c r="O60" s="10"/>
      <c r="P60" s="10"/>
      <c r="Q60" s="10"/>
      <c r="R60" s="10"/>
    </row>
    <row r="61" spans="1:18" x14ac:dyDescent="0.25">
      <c r="A61" s="6">
        <v>0</v>
      </c>
      <c r="B61" s="10">
        <v>1757.8130404040403</v>
      </c>
      <c r="C61" s="10">
        <v>0</v>
      </c>
      <c r="D61" s="10">
        <f>C61-B61</f>
        <v>-1757.8130404040403</v>
      </c>
      <c r="E61" s="10">
        <f>B61/(1+$B$1)^$A61</f>
        <v>1757.8130404040403</v>
      </c>
      <c r="F61" s="10">
        <f>C61/(1+$B$1)^$A61</f>
        <v>0</v>
      </c>
      <c r="G61" s="10">
        <f>F61-E61</f>
        <v>-1757.8130404040403</v>
      </c>
      <c r="H61" s="10"/>
      <c r="L61" s="10"/>
      <c r="M61" s="10"/>
      <c r="N61" s="10"/>
      <c r="O61" s="10"/>
      <c r="P61" s="10"/>
      <c r="Q61" s="10"/>
      <c r="R61" s="10"/>
    </row>
    <row r="62" spans="1:18" x14ac:dyDescent="0.25">
      <c r="A62" s="6">
        <v>1</v>
      </c>
      <c r="B62" s="10">
        <v>88.968222222222209</v>
      </c>
      <c r="C62" s="10">
        <v>0</v>
      </c>
      <c r="D62" s="10">
        <f>C62-B62</f>
        <v>-88.968222222222209</v>
      </c>
      <c r="E62" s="10">
        <f>B62/(1+$B$1)^$A62</f>
        <v>82.377983539094629</v>
      </c>
      <c r="F62" s="10">
        <f t="shared" ref="F62:F64" si="24">C62/(1+$B$1)^$A62</f>
        <v>0</v>
      </c>
      <c r="G62" s="10">
        <f>F62-E62</f>
        <v>-82.377983539094629</v>
      </c>
      <c r="H62" s="10"/>
      <c r="L62" s="10"/>
      <c r="M62" s="10"/>
      <c r="N62" s="10"/>
      <c r="O62" s="10"/>
      <c r="P62" s="10"/>
      <c r="Q62" s="10"/>
      <c r="R62" s="10"/>
    </row>
    <row r="63" spans="1:18" x14ac:dyDescent="0.25">
      <c r="A63" s="6">
        <v>2</v>
      </c>
      <c r="B63" s="10">
        <v>742.82444444444434</v>
      </c>
      <c r="C63" s="10">
        <f>Työkaluvälilehti!$B$12*(A63-A62)*Työkaluvälilehti!$B$7</f>
        <v>1236</v>
      </c>
      <c r="D63" s="10">
        <f t="shared" ref="D63:D64" si="25">C63-B63</f>
        <v>493.17555555555566</v>
      </c>
      <c r="E63" s="10">
        <f t="shared" ref="E63:F70" si="26">B63/(1+$B$1)^$A63</f>
        <v>636.85223289132739</v>
      </c>
      <c r="F63" s="10">
        <f t="shared" si="24"/>
        <v>1059.670781893004</v>
      </c>
      <c r="G63" s="10">
        <f t="shared" ref="G63:G64" si="27">F63-E63</f>
        <v>422.81854900167662</v>
      </c>
      <c r="H63" s="10"/>
      <c r="L63" s="10"/>
      <c r="M63" s="10"/>
      <c r="N63" s="10"/>
      <c r="O63" s="10"/>
      <c r="P63" s="10"/>
      <c r="Q63" s="10"/>
      <c r="R63" s="10"/>
    </row>
    <row r="64" spans="1:18" x14ac:dyDescent="0.25">
      <c r="A64" s="6">
        <v>3</v>
      </c>
      <c r="B64" s="10">
        <v>742.82444444444434</v>
      </c>
      <c r="C64" s="10">
        <f>Työkaluvälilehti!$B$12*(A64-A63)*Työkaluvälilehti!$B$7</f>
        <v>1236</v>
      </c>
      <c r="D64" s="10">
        <f t="shared" si="25"/>
        <v>493.17555555555566</v>
      </c>
      <c r="E64" s="10">
        <f t="shared" si="26"/>
        <v>589.67799341789566</v>
      </c>
      <c r="F64" s="10">
        <f t="shared" si="24"/>
        <v>981.17664990092965</v>
      </c>
      <c r="G64" s="10">
        <f t="shared" si="27"/>
        <v>391.49865648303398</v>
      </c>
      <c r="H64" s="10"/>
      <c r="L64" s="10"/>
      <c r="M64" s="10"/>
      <c r="N64" s="10"/>
      <c r="O64" s="10"/>
      <c r="P64" s="10"/>
      <c r="Q64" s="10"/>
      <c r="R64" s="10"/>
    </row>
    <row r="65" spans="1:18" x14ac:dyDescent="0.25">
      <c r="A65" s="6">
        <v>4</v>
      </c>
      <c r="B65" s="10">
        <v>742.82444444444434</v>
      </c>
      <c r="C65" s="10">
        <f>Työkaluvälilehti!$B$12*(A65-A64)*Työkaluvälilehti!$B$7</f>
        <v>1236</v>
      </c>
      <c r="D65" s="10">
        <f>C65-B65</f>
        <v>493.17555555555566</v>
      </c>
      <c r="E65" s="10">
        <f t="shared" si="26"/>
        <v>545.99814205360713</v>
      </c>
      <c r="F65" s="10">
        <f t="shared" si="26"/>
        <v>908.49689805641617</v>
      </c>
      <c r="G65" s="10">
        <f>F65-E65</f>
        <v>362.49875600280905</v>
      </c>
      <c r="H65" s="10"/>
      <c r="L65" s="10"/>
      <c r="M65" s="10"/>
      <c r="N65" s="10"/>
      <c r="O65" s="10"/>
      <c r="P65" s="10"/>
      <c r="Q65" s="10"/>
      <c r="R65" s="10"/>
    </row>
    <row r="66" spans="1:18" x14ac:dyDescent="0.25">
      <c r="A66" s="6">
        <v>5</v>
      </c>
      <c r="B66" s="10">
        <v>1839.2540869156685</v>
      </c>
      <c r="C66" s="10">
        <f>Työkaluvälilehti!$B$12*(A66-A65)*Työkaluvälilehti!$B$7</f>
        <v>1236</v>
      </c>
      <c r="D66" s="10">
        <f>C66-B66</f>
        <v>-603.25408691566849</v>
      </c>
      <c r="E66" s="10">
        <f t="shared" si="26"/>
        <v>1251.7654266304619</v>
      </c>
      <c r="F66" s="10">
        <f t="shared" si="26"/>
        <v>841.20083153371877</v>
      </c>
      <c r="G66" s="10">
        <f>F66-E66</f>
        <v>-410.56459509674312</v>
      </c>
      <c r="H66" s="10"/>
      <c r="L66" s="10"/>
      <c r="M66" s="10"/>
      <c r="N66" s="10"/>
      <c r="O66" s="10"/>
      <c r="P66" s="10"/>
      <c r="Q66" s="10"/>
      <c r="R66" s="10"/>
    </row>
    <row r="67" spans="1:18" x14ac:dyDescent="0.25">
      <c r="A67" s="6">
        <v>6</v>
      </c>
      <c r="B67" s="10">
        <v>231.00444444444449</v>
      </c>
      <c r="C67" s="10">
        <v>0</v>
      </c>
      <c r="D67" s="10">
        <f>C67-B67</f>
        <v>-231.00444444444449</v>
      </c>
      <c r="E67" s="10">
        <f t="shared" si="26"/>
        <v>145.57198456389443</v>
      </c>
      <c r="F67" s="10">
        <f t="shared" si="26"/>
        <v>0</v>
      </c>
      <c r="G67" s="10">
        <f>F67-E67</f>
        <v>-145.57198456389443</v>
      </c>
      <c r="H67" s="10"/>
      <c r="L67" s="10"/>
      <c r="M67" s="10"/>
      <c r="N67" s="10"/>
      <c r="O67" s="10"/>
      <c r="P67" s="10"/>
      <c r="Q67" s="10"/>
      <c r="R67" s="10"/>
    </row>
    <row r="68" spans="1:18" x14ac:dyDescent="0.25">
      <c r="A68" s="6">
        <v>7</v>
      </c>
      <c r="B68" s="10">
        <v>742.82444444444434</v>
      </c>
      <c r="C68" s="10">
        <f>Työkaluvälilehti!$B$12*(A68-A67)*Työkaluvälilehti!$B$7</f>
        <v>1236</v>
      </c>
      <c r="D68" s="10">
        <f t="shared" ref="D68:D69" si="28">C68-B68</f>
        <v>493.17555555555566</v>
      </c>
      <c r="E68" s="10">
        <f>B68/(1+$B$1)^$A68</f>
        <v>433.4309286992638</v>
      </c>
      <c r="F68" s="10">
        <f t="shared" si="26"/>
        <v>721.19412854399741</v>
      </c>
      <c r="G68" s="10">
        <f>F68-E68</f>
        <v>287.76319984473361</v>
      </c>
      <c r="H68" s="10"/>
      <c r="L68" s="10"/>
      <c r="M68" s="10"/>
      <c r="N68" s="10"/>
      <c r="O68" s="10"/>
      <c r="P68" s="10"/>
      <c r="Q68" s="10"/>
      <c r="R68" s="10"/>
    </row>
    <row r="69" spans="1:18" x14ac:dyDescent="0.25">
      <c r="A69" s="6">
        <v>8</v>
      </c>
      <c r="B69" s="10">
        <v>742.82444444444434</v>
      </c>
      <c r="C69" s="10">
        <f>Työkaluvälilehti!$B$12*(A69-A68)*Työkaluvälilehti!$B$7</f>
        <v>1236</v>
      </c>
      <c r="D69" s="10">
        <f t="shared" si="28"/>
        <v>493.17555555555566</v>
      </c>
      <c r="E69" s="10">
        <f t="shared" ref="E69" si="29">B69/(1+$B$1)^$A69</f>
        <v>401.32493398079981</v>
      </c>
      <c r="F69" s="10">
        <f t="shared" si="26"/>
        <v>667.77234124444203</v>
      </c>
      <c r="G69" s="10">
        <f t="shared" ref="G69:G70" si="30">F69-E69</f>
        <v>266.44740726364222</v>
      </c>
      <c r="H69" s="10"/>
      <c r="L69" s="10"/>
      <c r="M69" s="10"/>
      <c r="N69" s="10"/>
      <c r="O69" s="10"/>
      <c r="P69" s="10"/>
      <c r="Q69" s="10"/>
      <c r="R69" s="10"/>
    </row>
    <row r="70" spans="1:18" x14ac:dyDescent="0.25">
      <c r="A70" s="6">
        <v>9</v>
      </c>
      <c r="B70" s="10">
        <v>742.82444444444434</v>
      </c>
      <c r="C70" s="10">
        <f>Työkaluvälilehti!$B$12*(A70-A69)*Työkaluvälilehti!$B$7</f>
        <v>1236</v>
      </c>
      <c r="D70" s="10">
        <f>C70-B70</f>
        <v>493.17555555555566</v>
      </c>
      <c r="E70" s="10">
        <f>B70/(1+$B$1)^$A70</f>
        <v>371.59716109333311</v>
      </c>
      <c r="F70" s="10">
        <f t="shared" si="26"/>
        <v>618.30772337448332</v>
      </c>
      <c r="G70" s="10">
        <f t="shared" si="30"/>
        <v>246.7105622811502</v>
      </c>
      <c r="H70" s="10"/>
      <c r="L70" s="10"/>
      <c r="M70" s="10"/>
      <c r="N70" s="10"/>
      <c r="O70" s="10"/>
      <c r="P70" s="10"/>
      <c r="Q70" s="10"/>
      <c r="R70" s="10"/>
    </row>
    <row r="71" spans="1:18" x14ac:dyDescent="0.25">
      <c r="A71" s="6">
        <v>10</v>
      </c>
      <c r="B71" s="10">
        <v>580.61937984496126</v>
      </c>
      <c r="C71" s="10">
        <f>Työkaluvälilehti!$B$12*(A71-A70)*Työkaluvälilehti!$B$7</f>
        <v>1236</v>
      </c>
      <c r="D71" s="10">
        <f>C71-B71</f>
        <v>655.38062015503874</v>
      </c>
      <c r="E71" s="10">
        <f>B71/(1+$B$1)^$A71</f>
        <v>268.93911579995381</v>
      </c>
      <c r="F71" s="10">
        <f>C71/(1+$B$1)^$A71</f>
        <v>572.50715127266972</v>
      </c>
      <c r="G71" s="10">
        <f>F71-E71</f>
        <v>303.56803547271591</v>
      </c>
      <c r="H71" s="10"/>
      <c r="L71" s="10"/>
      <c r="M71" s="10"/>
      <c r="N71" s="10"/>
      <c r="O71" s="10"/>
      <c r="P71" s="10"/>
      <c r="Q71" s="10"/>
      <c r="R71" s="10"/>
    </row>
    <row r="72" spans="1:18" x14ac:dyDescent="0.25">
      <c r="A72" s="6" t="s">
        <v>103</v>
      </c>
      <c r="B72" s="10" t="s">
        <v>107</v>
      </c>
      <c r="C72" s="10" t="s">
        <v>98</v>
      </c>
      <c r="D72" s="10" t="s">
        <v>99</v>
      </c>
      <c r="E72" s="10" t="s">
        <v>100</v>
      </c>
      <c r="F72" s="10" t="s">
        <v>101</v>
      </c>
      <c r="G72" s="10" t="s">
        <v>102</v>
      </c>
      <c r="H72" s="10" t="s">
        <v>83</v>
      </c>
      <c r="I72" s="6" t="s">
        <v>121</v>
      </c>
      <c r="J72" s="6" t="s">
        <v>122</v>
      </c>
      <c r="L72" s="10"/>
      <c r="M72" s="10"/>
      <c r="N72" s="10"/>
      <c r="O72" s="10"/>
      <c r="P72" s="10"/>
      <c r="Q72" s="10"/>
      <c r="R72" s="10"/>
    </row>
    <row r="73" spans="1:18" x14ac:dyDescent="0.25">
      <c r="B73" s="10">
        <f>SUM(B61:B71)</f>
        <v>8954.6058404980031</v>
      </c>
      <c r="C73" s="10">
        <f t="shared" ref="C73:F73" si="31">SUM(C61:C71)</f>
        <v>9888</v>
      </c>
      <c r="D73" s="10">
        <f t="shared" si="31"/>
        <v>933.39415950199702</v>
      </c>
      <c r="E73" s="10">
        <f t="shared" si="31"/>
        <v>6485.3489430736709</v>
      </c>
      <c r="F73" s="10">
        <f t="shared" si="31"/>
        <v>6370.3265058196612</v>
      </c>
      <c r="G73" s="10">
        <f>SUM(G61:G71)</f>
        <v>-115.02243725401075</v>
      </c>
      <c r="H73" s="10">
        <f>G73/(1-(1/(1+$B$1))^(A71))</f>
        <v>-214.27168765820812</v>
      </c>
      <c r="I73" s="10">
        <f>H73*EXP(-B1*A71)</f>
        <v>-96.278475455111504</v>
      </c>
      <c r="J73" s="10">
        <f>G73+I73</f>
        <v>-211.30091270912226</v>
      </c>
      <c r="L73" s="10"/>
      <c r="M73" s="10"/>
      <c r="N73" s="10"/>
      <c r="O73" s="10"/>
      <c r="P73" s="10"/>
      <c r="Q73" s="10"/>
      <c r="R73" s="10"/>
    </row>
    <row r="74" spans="1:18" x14ac:dyDescent="0.25">
      <c r="B74" s="10" t="s">
        <v>104</v>
      </c>
      <c r="C74" s="10">
        <v>1639.3209567206075</v>
      </c>
      <c r="D74" s="10"/>
      <c r="E74" s="10"/>
      <c r="F74" s="10"/>
      <c r="G74" s="10"/>
      <c r="H74" s="10">
        <f>(G73-G61)/(1-EXP(-$B$1*A71))*EXP(-B1*A71)</f>
        <v>1340.4616402088004</v>
      </c>
      <c r="I74" s="10">
        <f>G73+H74</f>
        <v>1225.4392029547896</v>
      </c>
      <c r="L74" s="10"/>
      <c r="M74" s="10"/>
      <c r="N74" s="10"/>
      <c r="O74" s="10"/>
      <c r="P74" s="10"/>
      <c r="Q74" s="10"/>
      <c r="R74" s="10"/>
    </row>
    <row r="75" spans="1:18" x14ac:dyDescent="0.25">
      <c r="A75" s="6" t="s">
        <v>72</v>
      </c>
      <c r="B75" s="10"/>
      <c r="C75" s="10"/>
      <c r="D75" s="10"/>
      <c r="E75" s="10"/>
      <c r="F75" s="10"/>
      <c r="G75" s="10"/>
      <c r="H75" s="10" t="s">
        <v>123</v>
      </c>
      <c r="L75" s="10"/>
      <c r="M75" s="10"/>
      <c r="N75" s="10"/>
      <c r="O75" s="10"/>
      <c r="P75" s="10"/>
      <c r="Q75" s="10"/>
      <c r="R75" s="10"/>
    </row>
    <row r="76" spans="1:18" x14ac:dyDescent="0.25">
      <c r="A76" s="6" t="s">
        <v>78</v>
      </c>
      <c r="B76" s="10" t="s">
        <v>107</v>
      </c>
      <c r="C76" s="10" t="s">
        <v>98</v>
      </c>
      <c r="D76" s="10" t="s">
        <v>99</v>
      </c>
      <c r="E76" s="10" t="s">
        <v>100</v>
      </c>
      <c r="F76" s="10" t="s">
        <v>101</v>
      </c>
      <c r="G76" s="10" t="s">
        <v>102</v>
      </c>
      <c r="H76" s="10"/>
      <c r="L76" s="10"/>
      <c r="M76" s="10"/>
      <c r="N76" s="10"/>
      <c r="O76" s="10"/>
      <c r="P76" s="10"/>
      <c r="Q76" s="10"/>
      <c r="R76" s="10"/>
    </row>
    <row r="77" spans="1:18" x14ac:dyDescent="0.25">
      <c r="A77" s="6">
        <v>0</v>
      </c>
      <c r="B77" s="10">
        <v>1241.0517070707067</v>
      </c>
      <c r="C77" s="10">
        <v>0</v>
      </c>
      <c r="D77" s="10">
        <f>C77-B77</f>
        <v>-1241.0517070707067</v>
      </c>
      <c r="E77" s="10">
        <f>B77/(1+$B$1)^$A77</f>
        <v>1241.0517070707067</v>
      </c>
      <c r="F77" s="10">
        <f>C77/(1+$B$1)^$A77</f>
        <v>0</v>
      </c>
      <c r="G77" s="10">
        <f>F77-E77</f>
        <v>-1241.0517070707067</v>
      </c>
      <c r="H77" s="10"/>
      <c r="L77" s="10"/>
      <c r="M77" s="10"/>
      <c r="N77" s="10"/>
      <c r="O77" s="10"/>
      <c r="P77" s="10"/>
      <c r="Q77" s="10"/>
      <c r="R77" s="10"/>
    </row>
    <row r="78" spans="1:18" x14ac:dyDescent="0.25">
      <c r="A78" s="6">
        <v>1</v>
      </c>
      <c r="B78" s="10">
        <v>655.17603864734315</v>
      </c>
      <c r="C78" s="10">
        <f>Työkaluvälilehti!$B$12*(A79-A78)*Työkaluvälilehti!$B$3</f>
        <v>960</v>
      </c>
      <c r="D78" s="10">
        <f>C78-B78</f>
        <v>304.82396135265685</v>
      </c>
      <c r="E78" s="10">
        <f>B78/(1+$B$1)^$A78</f>
        <v>606.64448022902138</v>
      </c>
      <c r="F78" s="10">
        <f t="shared" ref="F78:F80" si="32">C78/(1+$B$1)^$A78</f>
        <v>888.8888888888888</v>
      </c>
      <c r="G78" s="10">
        <f>F78-E78</f>
        <v>282.24440865986742</v>
      </c>
      <c r="H78" s="10"/>
      <c r="L78" s="10"/>
      <c r="M78" s="10"/>
      <c r="N78" s="10"/>
      <c r="O78" s="10"/>
      <c r="P78" s="10"/>
      <c r="Q78" s="10"/>
      <c r="R78" s="10"/>
    </row>
    <row r="79" spans="1:18" x14ac:dyDescent="0.25">
      <c r="A79" s="6">
        <v>2</v>
      </c>
      <c r="B79" s="10">
        <v>655.17603864734315</v>
      </c>
      <c r="C79" s="10">
        <f>Työkaluvälilehti!$B$12*(A79-A78)*Työkaluvälilehti!$B$3</f>
        <v>960</v>
      </c>
      <c r="D79" s="10">
        <f t="shared" ref="D79:D80" si="33">C79-B79</f>
        <v>304.82396135265685</v>
      </c>
      <c r="E79" s="10">
        <f t="shared" ref="E79:F86" si="34">B79/(1+$B$1)^$A79</f>
        <v>561.70785206390872</v>
      </c>
      <c r="F79" s="10">
        <f t="shared" si="32"/>
        <v>823.04526748971182</v>
      </c>
      <c r="G79" s="10">
        <f t="shared" ref="G79:G80" si="35">F79-E79</f>
        <v>261.3374154258031</v>
      </c>
      <c r="H79" s="10"/>
      <c r="L79" s="10"/>
      <c r="M79" s="10"/>
      <c r="N79" s="10"/>
      <c r="O79" s="10"/>
      <c r="P79" s="10"/>
      <c r="Q79" s="10"/>
      <c r="R79" s="10"/>
    </row>
    <row r="80" spans="1:18" x14ac:dyDescent="0.25">
      <c r="A80" s="6">
        <v>3</v>
      </c>
      <c r="B80" s="10">
        <v>655.17603864734315</v>
      </c>
      <c r="C80" s="10">
        <f>Työkaluvälilehti!$B$12*(A80-A79)*Työkaluvälilehti!$B$3</f>
        <v>960</v>
      </c>
      <c r="D80" s="10">
        <f t="shared" si="33"/>
        <v>304.82396135265685</v>
      </c>
      <c r="E80" s="10">
        <f t="shared" si="34"/>
        <v>520.0998630221377</v>
      </c>
      <c r="F80" s="10">
        <f t="shared" si="32"/>
        <v>762.07895137936282</v>
      </c>
      <c r="G80" s="10">
        <f t="shared" si="35"/>
        <v>241.97908835722512</v>
      </c>
      <c r="H80" s="10"/>
      <c r="L80" s="10"/>
      <c r="M80" s="10"/>
      <c r="N80" s="10"/>
      <c r="O80" s="10"/>
      <c r="P80" s="10"/>
      <c r="Q80" s="10"/>
      <c r="R80" s="10"/>
    </row>
    <row r="81" spans="1:18" x14ac:dyDescent="0.25">
      <c r="A81" s="6">
        <v>4</v>
      </c>
      <c r="B81" s="10">
        <v>655.17603864734315</v>
      </c>
      <c r="C81" s="10">
        <f>Työkaluvälilehti!$B$12*(A81-A80)*Työkaluvälilehti!$B$3</f>
        <v>960</v>
      </c>
      <c r="D81" s="10">
        <f>C81-B81</f>
        <v>304.82396135265685</v>
      </c>
      <c r="E81" s="10">
        <f t="shared" si="34"/>
        <v>481.57394724272001</v>
      </c>
      <c r="F81" s="10">
        <f t="shared" si="34"/>
        <v>705.62865868459517</v>
      </c>
      <c r="G81" s="10">
        <f>F81-E81</f>
        <v>224.05471144187516</v>
      </c>
      <c r="H81" s="10"/>
      <c r="L81" s="10"/>
      <c r="M81" s="10"/>
      <c r="N81" s="10"/>
      <c r="O81" s="10"/>
      <c r="P81" s="10"/>
      <c r="Q81" s="10"/>
      <c r="R81" s="10"/>
    </row>
    <row r="82" spans="1:18" x14ac:dyDescent="0.25">
      <c r="A82" s="6">
        <v>5</v>
      </c>
      <c r="B82" s="10">
        <v>655.17603864734315</v>
      </c>
      <c r="C82" s="10">
        <f>Työkaluvälilehti!$B$12*(A82-A81)*Työkaluvälilehti!$B$3</f>
        <v>960</v>
      </c>
      <c r="D82" s="10">
        <f>C82-B82</f>
        <v>304.82396135265685</v>
      </c>
      <c r="E82" s="10">
        <f t="shared" si="34"/>
        <v>445.90180300251853</v>
      </c>
      <c r="F82" s="10">
        <f t="shared" si="34"/>
        <v>653.35986915240289</v>
      </c>
      <c r="G82" s="10">
        <f>F82-E82</f>
        <v>207.45806614988436</v>
      </c>
      <c r="H82" s="10"/>
      <c r="L82" s="10"/>
      <c r="M82" s="10"/>
      <c r="N82" s="10"/>
      <c r="O82" s="10"/>
      <c r="P82" s="10"/>
      <c r="Q82" s="10"/>
      <c r="R82" s="10"/>
    </row>
    <row r="83" spans="1:18" x14ac:dyDescent="0.25">
      <c r="A83" s="6">
        <v>6</v>
      </c>
      <c r="B83" s="10">
        <v>655.17603864734315</v>
      </c>
      <c r="C83" s="10">
        <f>Työkaluvälilehti!$B$12*(A83-A82)*Työkaluvälilehti!$B$3</f>
        <v>960</v>
      </c>
      <c r="D83" s="10">
        <f>C83-B83</f>
        <v>304.82396135265685</v>
      </c>
      <c r="E83" s="10">
        <f t="shared" si="34"/>
        <v>412.87203981714674</v>
      </c>
      <c r="F83" s="10">
        <f t="shared" si="34"/>
        <v>604.96284180778036</v>
      </c>
      <c r="G83" s="10">
        <f>F83-E83</f>
        <v>192.09080199063362</v>
      </c>
      <c r="H83" s="10"/>
      <c r="L83" s="10"/>
      <c r="M83" s="10"/>
      <c r="N83" s="10"/>
      <c r="O83" s="10"/>
      <c r="P83" s="10"/>
      <c r="Q83" s="10"/>
      <c r="R83" s="10"/>
    </row>
    <row r="84" spans="1:18" x14ac:dyDescent="0.25">
      <c r="A84" s="6">
        <v>7</v>
      </c>
      <c r="B84" s="10">
        <v>655.17603864734315</v>
      </c>
      <c r="C84" s="10">
        <f>Työkaluvälilehti!$B$12*(A84-A83)*Työkaluvälilehti!$B$3</f>
        <v>960</v>
      </c>
      <c r="D84" s="10">
        <f t="shared" ref="D84:D85" si="36">C84-B84</f>
        <v>304.82396135265685</v>
      </c>
      <c r="E84" s="10">
        <f>B84/(1+$B$1)^$A84</f>
        <v>382.28892575661735</v>
      </c>
      <c r="F84" s="10">
        <f t="shared" si="34"/>
        <v>560.15077945164853</v>
      </c>
      <c r="G84" s="10">
        <f>F84-E84</f>
        <v>177.86185369503119</v>
      </c>
      <c r="H84" s="10"/>
      <c r="L84" s="10"/>
      <c r="M84" s="10"/>
      <c r="N84" s="10"/>
      <c r="O84" s="10"/>
      <c r="P84" s="10"/>
      <c r="Q84" s="10"/>
      <c r="R84" s="10"/>
    </row>
    <row r="85" spans="1:18" x14ac:dyDescent="0.25">
      <c r="A85" s="6">
        <v>8</v>
      </c>
      <c r="B85" s="10">
        <v>655.17603864734315</v>
      </c>
      <c r="C85" s="10">
        <f>Työkaluvälilehti!$B$12*(A85-A84)*Työkaluvälilehti!$B$3</f>
        <v>960</v>
      </c>
      <c r="D85" s="10">
        <f t="shared" si="36"/>
        <v>304.82396135265685</v>
      </c>
      <c r="E85" s="10">
        <f t="shared" ref="E85" si="37">B85/(1+$B$1)^$A85</f>
        <v>353.97122755242344</v>
      </c>
      <c r="F85" s="10">
        <f t="shared" si="34"/>
        <v>518.65812912189676</v>
      </c>
      <c r="G85" s="10">
        <f t="shared" ref="G85:G86" si="38">F85-E85</f>
        <v>164.68690156947332</v>
      </c>
      <c r="H85" s="10"/>
      <c r="L85" s="10"/>
      <c r="M85" s="10"/>
      <c r="N85" s="10"/>
      <c r="O85" s="10"/>
      <c r="P85" s="10"/>
      <c r="Q85" s="10"/>
      <c r="R85" s="10"/>
    </row>
    <row r="86" spans="1:18" x14ac:dyDescent="0.25">
      <c r="A86" s="6">
        <v>9</v>
      </c>
      <c r="B86" s="10">
        <v>655.17603864734315</v>
      </c>
      <c r="C86" s="10">
        <f>Työkaluvälilehti!$B$12*(A86-A85)*Työkaluvälilehti!$B$3</f>
        <v>960</v>
      </c>
      <c r="D86" s="10">
        <f>C86-B86</f>
        <v>304.82396135265685</v>
      </c>
      <c r="E86" s="10">
        <f>B86/(1+$B$1)^$A86</f>
        <v>327.7511366226143</v>
      </c>
      <c r="F86" s="10">
        <f t="shared" si="34"/>
        <v>480.23900844620067</v>
      </c>
      <c r="G86" s="10">
        <f t="shared" si="38"/>
        <v>152.48787182358637</v>
      </c>
      <c r="H86" s="10"/>
      <c r="L86" s="10"/>
      <c r="M86" s="10"/>
      <c r="N86" s="10"/>
      <c r="O86" s="10"/>
      <c r="P86" s="10"/>
      <c r="Q86" s="10"/>
      <c r="R86" s="10"/>
    </row>
    <row r="87" spans="1:18" x14ac:dyDescent="0.25">
      <c r="A87" s="6">
        <v>10</v>
      </c>
      <c r="B87" s="10">
        <v>685.52239523649041</v>
      </c>
      <c r="C87" s="10">
        <f>Työkaluvälilehti!$B$12*(A87-A86)*Työkaluvälilehti!$B$3</f>
        <v>960</v>
      </c>
      <c r="D87" s="10">
        <f>C87-B87</f>
        <v>274.47760476350959</v>
      </c>
      <c r="E87" s="10">
        <f>B87/(1+$B$1)^$A87</f>
        <v>317.52950940975751</v>
      </c>
      <c r="F87" s="10">
        <f>C87/(1+$B$1)^$A87</f>
        <v>444.66574856129688</v>
      </c>
      <c r="G87" s="10">
        <f>F87-E87</f>
        <v>127.13623915153937</v>
      </c>
      <c r="H87" s="10"/>
      <c r="L87" s="10"/>
      <c r="M87" s="10"/>
      <c r="N87" s="10"/>
      <c r="O87" s="10"/>
      <c r="P87" s="10"/>
      <c r="Q87" s="10"/>
      <c r="R87" s="10"/>
    </row>
    <row r="88" spans="1:18" x14ac:dyDescent="0.25">
      <c r="A88" s="6" t="s">
        <v>103</v>
      </c>
      <c r="B88" s="10" t="s">
        <v>107</v>
      </c>
      <c r="C88" s="10" t="s">
        <v>98</v>
      </c>
      <c r="D88" s="10" t="s">
        <v>99</v>
      </c>
      <c r="E88" s="10" t="s">
        <v>100</v>
      </c>
      <c r="F88" s="10" t="s">
        <v>101</v>
      </c>
      <c r="G88" s="10" t="s">
        <v>102</v>
      </c>
      <c r="H88" s="10" t="s">
        <v>83</v>
      </c>
      <c r="L88" s="10"/>
      <c r="M88" s="10"/>
      <c r="N88" s="10"/>
      <c r="O88" s="10"/>
      <c r="P88" s="10"/>
      <c r="Q88" s="10"/>
      <c r="R88" s="10"/>
    </row>
    <row r="89" spans="1:18" x14ac:dyDescent="0.25">
      <c r="B89" s="10">
        <f>SUM(B77:B87)</f>
        <v>7823.1584501332873</v>
      </c>
      <c r="C89" s="10">
        <f t="shared" ref="C89:G89" si="39">SUM(C77:C87)</f>
        <v>9600</v>
      </c>
      <c r="D89" s="10">
        <f>SUM(D77:D87)</f>
        <v>1776.8415498667146</v>
      </c>
      <c r="E89" s="10">
        <f t="shared" si="39"/>
        <v>5651.392491789572</v>
      </c>
      <c r="F89" s="10">
        <f t="shared" si="39"/>
        <v>6441.6781429837838</v>
      </c>
      <c r="G89" s="10">
        <f t="shared" si="39"/>
        <v>790.28565119421239</v>
      </c>
      <c r="H89" s="10">
        <f>G89/(1-(1/(1+$B$1))^(A87))</f>
        <v>1472.1983315263585</v>
      </c>
      <c r="L89" s="10"/>
      <c r="M89" s="10"/>
      <c r="N89" s="10"/>
      <c r="O89" s="10"/>
      <c r="P89" s="10"/>
      <c r="Q89" s="10"/>
      <c r="R89" s="10"/>
    </row>
    <row r="90" spans="1:18" x14ac:dyDescent="0.25">
      <c r="B90" s="10" t="s">
        <v>104</v>
      </c>
      <c r="C90" s="10">
        <v>1610.3158450133287</v>
      </c>
      <c r="D90" s="10"/>
      <c r="E90" s="10"/>
      <c r="F90" s="10"/>
      <c r="G90" s="10"/>
      <c r="H90" s="10"/>
      <c r="L90" s="10"/>
      <c r="M90" s="10"/>
      <c r="N90" s="10"/>
      <c r="O90" s="10"/>
      <c r="P90" s="10"/>
      <c r="Q90" s="10"/>
      <c r="R90" s="10"/>
    </row>
    <row r="91" spans="1:18" x14ac:dyDescent="0.25">
      <c r="A91" s="6" t="s">
        <v>74</v>
      </c>
      <c r="B91" s="10"/>
      <c r="C91" s="10"/>
      <c r="D91" s="10"/>
      <c r="E91" s="10"/>
      <c r="F91" s="10"/>
      <c r="G91" s="10"/>
      <c r="H91" s="10"/>
      <c r="L91" s="10"/>
      <c r="M91" s="10"/>
      <c r="N91" s="10"/>
      <c r="O91" s="10"/>
      <c r="P91" s="10"/>
      <c r="Q91" s="10"/>
      <c r="R91" s="10"/>
    </row>
    <row r="92" spans="1:18" x14ac:dyDescent="0.25">
      <c r="A92" s="6" t="s">
        <v>78</v>
      </c>
      <c r="B92" s="10" t="s">
        <v>107</v>
      </c>
      <c r="C92" s="10" t="s">
        <v>98</v>
      </c>
      <c r="D92" s="10" t="s">
        <v>99</v>
      </c>
      <c r="E92" s="10" t="s">
        <v>100</v>
      </c>
      <c r="F92" s="10" t="s">
        <v>101</v>
      </c>
      <c r="G92" s="10" t="s">
        <v>102</v>
      </c>
      <c r="H92" s="10"/>
      <c r="L92" s="10"/>
      <c r="M92" s="10"/>
      <c r="N92" s="10"/>
      <c r="O92" s="10"/>
      <c r="P92" s="10"/>
      <c r="Q92" s="10"/>
      <c r="R92" s="10"/>
    </row>
    <row r="93" spans="1:18" x14ac:dyDescent="0.25">
      <c r="A93" s="71">
        <v>0</v>
      </c>
      <c r="B93" s="72">
        <v>1241.0517070707067</v>
      </c>
      <c r="C93" s="72">
        <v>0</v>
      </c>
      <c r="D93" s="72">
        <f>C93-B93</f>
        <v>-1241.0517070707067</v>
      </c>
      <c r="E93" s="72">
        <f>B93/(1+$B$1)^$A93</f>
        <v>1241.0517070707067</v>
      </c>
      <c r="F93" s="72">
        <f>C93/(1+$B$1)^$A93</f>
        <v>0</v>
      </c>
      <c r="G93" s="72">
        <f>F93-E93</f>
        <v>-1241.0517070707067</v>
      </c>
      <c r="H93" s="72"/>
      <c r="L93" s="10"/>
      <c r="M93" s="10"/>
      <c r="N93" s="10"/>
      <c r="O93" s="10"/>
      <c r="P93" s="10"/>
      <c r="Q93" s="10"/>
      <c r="R93" s="10"/>
    </row>
    <row r="94" spans="1:18" x14ac:dyDescent="0.25">
      <c r="A94" s="71">
        <v>1</v>
      </c>
      <c r="B94" s="72">
        <v>88.968222222222209</v>
      </c>
      <c r="C94" s="72">
        <v>0</v>
      </c>
      <c r="D94" s="72">
        <f>C94-B94</f>
        <v>-88.968222222222209</v>
      </c>
      <c r="E94" s="72">
        <f>B94/(1+$B$1)^$A94</f>
        <v>82.377983539094629</v>
      </c>
      <c r="F94" s="72">
        <f t="shared" ref="F94:F96" si="40">C94/(1+$B$1)^$A94</f>
        <v>0</v>
      </c>
      <c r="G94" s="72">
        <f>F94-E94</f>
        <v>-82.377983539094629</v>
      </c>
      <c r="H94" s="72"/>
      <c r="L94" s="10"/>
      <c r="M94" s="10"/>
      <c r="N94" s="10"/>
      <c r="O94" s="10"/>
      <c r="P94" s="10"/>
      <c r="Q94" s="10"/>
      <c r="R94" s="10"/>
    </row>
    <row r="95" spans="1:18" x14ac:dyDescent="0.25">
      <c r="A95" s="71">
        <v>2</v>
      </c>
      <c r="B95" s="72">
        <v>976.66324361628699</v>
      </c>
      <c r="C95" s="72">
        <f>Työkaluvälilehti!$B$12*(A95-A94)*Työkaluvälilehti!$B$4</f>
        <v>1200</v>
      </c>
      <c r="D95" s="72">
        <f t="shared" ref="D95:D96" si="41">C95-B95</f>
        <v>223.33675638371301</v>
      </c>
      <c r="E95" s="72">
        <f t="shared" ref="E95:F102" si="42">B95/(1+$B$1)^$A95</f>
        <v>837.33131311410057</v>
      </c>
      <c r="F95" s="72">
        <f t="shared" si="40"/>
        <v>1028.8065843621398</v>
      </c>
      <c r="G95" s="72">
        <f t="shared" ref="G95:G96" si="43">F95-E95</f>
        <v>191.47527124803923</v>
      </c>
      <c r="H95" s="72"/>
      <c r="L95" s="10"/>
      <c r="M95" s="10"/>
      <c r="N95" s="10"/>
      <c r="O95" s="10"/>
      <c r="P95" s="10"/>
      <c r="Q95" s="10"/>
      <c r="R95" s="10"/>
    </row>
    <row r="96" spans="1:18" x14ac:dyDescent="0.25">
      <c r="A96" s="71">
        <v>3</v>
      </c>
      <c r="B96" s="72">
        <v>976.66324361628699</v>
      </c>
      <c r="C96" s="72">
        <f>Työkaluvälilehti!$B$12*(A96-A95)*Työkaluvälilehti!$B$4</f>
        <v>1200</v>
      </c>
      <c r="D96" s="72">
        <f t="shared" si="41"/>
        <v>223.33675638371301</v>
      </c>
      <c r="E96" s="72">
        <f t="shared" si="42"/>
        <v>775.30677140194496</v>
      </c>
      <c r="F96" s="72">
        <f t="shared" si="40"/>
        <v>952.59868922420355</v>
      </c>
      <c r="G96" s="72">
        <f t="shared" si="43"/>
        <v>177.2919178222586</v>
      </c>
      <c r="H96" s="72"/>
      <c r="L96" s="10"/>
      <c r="M96" s="10"/>
      <c r="N96" s="10"/>
      <c r="O96" s="10"/>
      <c r="P96" s="10"/>
      <c r="Q96" s="10"/>
      <c r="R96" s="10"/>
    </row>
    <row r="97" spans="1:18" x14ac:dyDescent="0.25">
      <c r="A97" s="71">
        <v>4</v>
      </c>
      <c r="B97" s="72">
        <v>976.66324361628699</v>
      </c>
      <c r="C97" s="72">
        <f>Työkaluvälilehti!$B$12*(A97-A96)*Työkaluvälilehti!$B$4</f>
        <v>1200</v>
      </c>
      <c r="D97" s="72">
        <f>C97-B97</f>
        <v>223.33675638371301</v>
      </c>
      <c r="E97" s="72">
        <f t="shared" si="42"/>
        <v>717.87664018698604</v>
      </c>
      <c r="F97" s="72">
        <f t="shared" si="42"/>
        <v>882.0358233557439</v>
      </c>
      <c r="G97" s="72">
        <f>F97-E97</f>
        <v>164.15918316875786</v>
      </c>
      <c r="H97" s="72"/>
      <c r="L97" s="10"/>
      <c r="M97" s="10"/>
      <c r="N97" s="10"/>
      <c r="O97" s="10"/>
      <c r="P97" s="10"/>
      <c r="Q97" s="10"/>
      <c r="R97" s="10"/>
    </row>
    <row r="98" spans="1:18" x14ac:dyDescent="0.25">
      <c r="A98" s="71">
        <v>5</v>
      </c>
      <c r="B98" s="72">
        <v>976.66324361628699</v>
      </c>
      <c r="C98" s="72">
        <f>Työkaluvälilehti!$B$12*(A98-A97)*Työkaluvälilehti!$B$4</f>
        <v>1200</v>
      </c>
      <c r="D98" s="72">
        <f>C98-B98</f>
        <v>223.33675638371301</v>
      </c>
      <c r="E98" s="72">
        <f t="shared" si="42"/>
        <v>664.70059276572772</v>
      </c>
      <c r="F98" s="72">
        <f t="shared" si="42"/>
        <v>816.69983644050365</v>
      </c>
      <c r="G98" s="72">
        <f>F98-E98</f>
        <v>151.99924367477593</v>
      </c>
      <c r="H98" s="72"/>
      <c r="L98" s="10"/>
      <c r="M98" s="10"/>
      <c r="N98" s="10"/>
      <c r="O98" s="10"/>
      <c r="P98" s="10"/>
      <c r="Q98" s="10"/>
      <c r="R98" s="10"/>
    </row>
    <row r="99" spans="1:18" x14ac:dyDescent="0.25">
      <c r="A99" s="71">
        <v>6</v>
      </c>
      <c r="B99" s="72">
        <v>976.66324361628699</v>
      </c>
      <c r="C99" s="72">
        <f>Työkaluvälilehti!$B$12*(A99-A98)*Työkaluvälilehti!$B$4</f>
        <v>1200</v>
      </c>
      <c r="D99" s="72">
        <f>C99-B99</f>
        <v>223.33675638371301</v>
      </c>
      <c r="E99" s="72">
        <f t="shared" si="42"/>
        <v>615.46351182011824</v>
      </c>
      <c r="F99" s="72">
        <f t="shared" si="42"/>
        <v>756.20355225972548</v>
      </c>
      <c r="G99" s="72">
        <f>F99-E99</f>
        <v>140.74004043960724</v>
      </c>
      <c r="H99" s="72"/>
      <c r="L99" s="10"/>
      <c r="M99" s="10"/>
      <c r="N99" s="10"/>
      <c r="O99" s="10"/>
      <c r="P99" s="10"/>
      <c r="Q99" s="10"/>
      <c r="R99" s="10"/>
    </row>
    <row r="100" spans="1:18" x14ac:dyDescent="0.25">
      <c r="A100" s="71">
        <v>7</v>
      </c>
      <c r="B100" s="72">
        <v>976.66324361628699</v>
      </c>
      <c r="C100" s="72">
        <f>Työkaluvälilehti!$B$12*(A100-A99)*Työkaluvälilehti!$B$4</f>
        <v>1200</v>
      </c>
      <c r="D100" s="72">
        <f t="shared" ref="D100:D101" si="44">C100-B100</f>
        <v>223.33675638371301</v>
      </c>
      <c r="E100" s="72">
        <f>B100/(1+$B$1)^$A100</f>
        <v>569.87362205566501</v>
      </c>
      <c r="F100" s="72">
        <f t="shared" si="42"/>
        <v>700.18847431456061</v>
      </c>
      <c r="G100" s="72">
        <f>F100-E100</f>
        <v>130.3148522588956</v>
      </c>
      <c r="H100" s="72"/>
      <c r="L100" s="10"/>
      <c r="M100" s="10"/>
      <c r="N100" s="10"/>
      <c r="O100" s="10"/>
      <c r="P100" s="10"/>
      <c r="Q100" s="10"/>
      <c r="R100" s="10"/>
    </row>
    <row r="101" spans="1:18" x14ac:dyDescent="0.25">
      <c r="A101" s="71">
        <v>8</v>
      </c>
      <c r="B101" s="72">
        <v>976.66324361628699</v>
      </c>
      <c r="C101" s="72">
        <f>Työkaluvälilehti!$B$12*(A101-A100)*Työkaluvälilehti!$B$4</f>
        <v>1200</v>
      </c>
      <c r="D101" s="72">
        <f t="shared" si="44"/>
        <v>223.33675638371301</v>
      </c>
      <c r="E101" s="72">
        <f t="shared" ref="E101" si="45">B101/(1+$B$1)^$A101</f>
        <v>527.66076116265276</v>
      </c>
      <c r="F101" s="72">
        <f t="shared" si="42"/>
        <v>648.32266140237095</v>
      </c>
      <c r="G101" s="72">
        <f t="shared" ref="G101:G102" si="46">F101-E101</f>
        <v>120.66190023971819</v>
      </c>
      <c r="H101" s="72"/>
      <c r="L101" s="10"/>
      <c r="M101" s="10"/>
      <c r="N101" s="10"/>
      <c r="O101" s="10"/>
      <c r="P101" s="10"/>
      <c r="Q101" s="10"/>
      <c r="R101" s="10"/>
    </row>
    <row r="102" spans="1:18" x14ac:dyDescent="0.25">
      <c r="A102" s="71">
        <v>9</v>
      </c>
      <c r="B102" s="72">
        <v>976.66324361628699</v>
      </c>
      <c r="C102" s="72">
        <f>Työkaluvälilehti!$B$12*(A102-A101)*Työkaluvälilehti!$B$4</f>
        <v>1200</v>
      </c>
      <c r="D102" s="72">
        <f>C102-B102</f>
        <v>223.33675638371301</v>
      </c>
      <c r="E102" s="72">
        <f>B102/(1+$B$1)^$A102</f>
        <v>488.57477885430808</v>
      </c>
      <c r="F102" s="72">
        <f t="shared" si="42"/>
        <v>600.29876055775082</v>
      </c>
      <c r="G102" s="72">
        <f t="shared" si="46"/>
        <v>111.72398170344275</v>
      </c>
      <c r="H102" s="72"/>
      <c r="L102" s="10"/>
      <c r="M102" s="10"/>
      <c r="N102" s="10"/>
      <c r="O102" s="10"/>
      <c r="P102" s="10"/>
      <c r="Q102" s="10"/>
      <c r="R102" s="10"/>
    </row>
    <row r="103" spans="1:18" x14ac:dyDescent="0.25">
      <c r="A103" s="71">
        <v>10</v>
      </c>
      <c r="B103" s="72">
        <v>1007.0096002054343</v>
      </c>
      <c r="C103" s="72">
        <f>Työkaluvälilehti!$B$12*(A103-A102)*Työkaluvälilehti!$B$4</f>
        <v>1200</v>
      </c>
      <c r="D103" s="72">
        <f>C103-B103</f>
        <v>192.99039979456575</v>
      </c>
      <c r="E103" s="72">
        <f>B103/(1+$B$1)^$A103</f>
        <v>466.44028925391848</v>
      </c>
      <c r="F103" s="72">
        <f>C103/(1+$B$1)^$A103</f>
        <v>555.83218570162114</v>
      </c>
      <c r="G103" s="72">
        <f>F103-E103</f>
        <v>89.391896447702663</v>
      </c>
      <c r="H103" s="72"/>
      <c r="L103" s="10"/>
      <c r="M103" s="10"/>
      <c r="N103" s="10"/>
      <c r="O103" s="10"/>
      <c r="P103" s="10"/>
      <c r="Q103" s="10"/>
      <c r="R103" s="10"/>
    </row>
    <row r="104" spans="1:18" x14ac:dyDescent="0.25">
      <c r="A104" s="71" t="s">
        <v>103</v>
      </c>
      <c r="B104" s="72" t="s">
        <v>107</v>
      </c>
      <c r="C104" s="72" t="s">
        <v>98</v>
      </c>
      <c r="D104" s="72" t="s">
        <v>99</v>
      </c>
      <c r="E104" s="72" t="s">
        <v>100</v>
      </c>
      <c r="F104" s="72" t="s">
        <v>101</v>
      </c>
      <c r="G104" s="72" t="s">
        <v>102</v>
      </c>
      <c r="H104" s="72" t="s">
        <v>83</v>
      </c>
      <c r="L104" s="10"/>
      <c r="M104" s="10"/>
      <c r="N104" s="10"/>
      <c r="O104" s="10"/>
      <c r="P104" s="10"/>
      <c r="Q104" s="10"/>
      <c r="R104" s="10"/>
    </row>
    <row r="105" spans="1:18" x14ac:dyDescent="0.25">
      <c r="B105" s="10">
        <f>SUM(B93:B103)</f>
        <v>10150.33547842866</v>
      </c>
      <c r="C105" s="10">
        <f t="shared" ref="C105:G105" si="47">SUM(C93:C103)</f>
        <v>10800</v>
      </c>
      <c r="D105" s="10">
        <f t="shared" si="47"/>
        <v>649.66452157134086</v>
      </c>
      <c r="E105" s="10">
        <f t="shared" si="47"/>
        <v>6986.6579712252242</v>
      </c>
      <c r="F105" s="10">
        <f t="shared" si="47"/>
        <v>6940.98656761862</v>
      </c>
      <c r="G105" s="10">
        <f t="shared" si="47"/>
        <v>-45.671403606603292</v>
      </c>
      <c r="H105" s="10">
        <f>G105/(1-(1/(1+$B$1))^(A103))</f>
        <v>-85.07982409462312</v>
      </c>
      <c r="L105" s="10"/>
      <c r="M105" s="10"/>
      <c r="N105" s="10"/>
      <c r="O105" s="10"/>
      <c r="P105" s="10"/>
      <c r="Q105" s="10"/>
      <c r="R105" s="10"/>
    </row>
    <row r="106" spans="1:18" x14ac:dyDescent="0.25">
      <c r="B106" s="10" t="s">
        <v>104</v>
      </c>
      <c r="C106" s="10">
        <v>1843.033547842866</v>
      </c>
      <c r="D106" s="10"/>
      <c r="E106" s="10"/>
      <c r="F106" s="10"/>
      <c r="G106" s="10"/>
      <c r="H106" s="10"/>
      <c r="L106" s="10"/>
      <c r="M106" s="10"/>
      <c r="N106" s="10"/>
      <c r="O106" s="10"/>
      <c r="P106" s="10"/>
      <c r="Q106" s="10"/>
      <c r="R106" s="10"/>
    </row>
    <row r="107" spans="1:18" x14ac:dyDescent="0.25">
      <c r="A107" s="6" t="s">
        <v>77</v>
      </c>
      <c r="B107" s="10"/>
      <c r="C107" s="10"/>
      <c r="D107" s="10"/>
      <c r="E107" s="10"/>
      <c r="F107" s="10"/>
      <c r="G107" s="10"/>
      <c r="H107" s="10"/>
      <c r="L107" s="10"/>
      <c r="M107" s="10"/>
      <c r="N107" s="10"/>
      <c r="O107" s="10"/>
      <c r="P107" s="10"/>
      <c r="Q107" s="10"/>
      <c r="R107" s="10"/>
    </row>
    <row r="108" spans="1:18" x14ac:dyDescent="0.25">
      <c r="A108" s="6" t="s">
        <v>78</v>
      </c>
      <c r="B108" s="10" t="s">
        <v>107</v>
      </c>
      <c r="C108" s="10" t="s">
        <v>98</v>
      </c>
      <c r="D108" s="10" t="s">
        <v>99</v>
      </c>
      <c r="E108" s="10" t="s">
        <v>100</v>
      </c>
      <c r="F108" s="10" t="s">
        <v>101</v>
      </c>
      <c r="G108" s="10" t="s">
        <v>102</v>
      </c>
      <c r="H108" s="10"/>
      <c r="L108" s="10"/>
      <c r="M108" s="10"/>
      <c r="N108" s="10"/>
      <c r="O108" s="10"/>
      <c r="P108" s="10"/>
      <c r="Q108" s="10"/>
      <c r="R108" s="10"/>
    </row>
    <row r="109" spans="1:18" x14ac:dyDescent="0.25">
      <c r="A109" s="6">
        <v>0</v>
      </c>
      <c r="B109" s="10">
        <v>1241.0517070707067</v>
      </c>
      <c r="C109" s="10">
        <v>0</v>
      </c>
      <c r="D109" s="10">
        <f>C109-B109</f>
        <v>-1241.0517070707067</v>
      </c>
      <c r="E109" s="10">
        <f>B109/(1+$B$1)^$A109</f>
        <v>1241.0517070707067</v>
      </c>
      <c r="F109" s="10">
        <f>C109/(1+$B$1)^$A109</f>
        <v>0</v>
      </c>
      <c r="G109" s="10">
        <f>F109-E109</f>
        <v>-1241.0517070707067</v>
      </c>
      <c r="H109" s="10"/>
      <c r="L109" s="10"/>
      <c r="M109" s="10"/>
      <c r="N109" s="10"/>
      <c r="O109" s="10"/>
      <c r="P109" s="10"/>
      <c r="Q109" s="10"/>
      <c r="R109" s="10"/>
    </row>
    <row r="110" spans="1:18" x14ac:dyDescent="0.25">
      <c r="A110" s="6">
        <v>1</v>
      </c>
      <c r="B110" s="10">
        <v>88.968222222222209</v>
      </c>
      <c r="C110" s="10">
        <v>0</v>
      </c>
      <c r="D110" s="10">
        <f>C110-B110</f>
        <v>-88.968222222222209</v>
      </c>
      <c r="E110" s="10">
        <f>B110/(1+$B$1)^$A110</f>
        <v>82.377983539094629</v>
      </c>
      <c r="F110" s="10">
        <f t="shared" ref="F110:F112" si="48">C110/(1+$B$1)^$A110</f>
        <v>0</v>
      </c>
      <c r="G110" s="10">
        <f>F110-E110</f>
        <v>-82.377983539094629</v>
      </c>
      <c r="H110" s="10"/>
      <c r="L110" s="10"/>
      <c r="M110" s="10"/>
      <c r="N110" s="10"/>
      <c r="O110" s="10"/>
      <c r="P110" s="10"/>
      <c r="Q110" s="10"/>
      <c r="R110" s="10"/>
    </row>
    <row r="111" spans="1:18" x14ac:dyDescent="0.25">
      <c r="A111" s="6">
        <v>2</v>
      </c>
      <c r="B111" s="10">
        <v>978.55909313833445</v>
      </c>
      <c r="C111" s="10">
        <f>Työkaluvälilehti!$B$12*(A111-A110)*Työkaluvälilehti!$B$5</f>
        <v>960</v>
      </c>
      <c r="D111" s="10">
        <f t="shared" ref="D111:D112" si="49">C111-B111</f>
        <v>-18.559093138334447</v>
      </c>
      <c r="E111" s="10">
        <f>B111/(1+$B$1)^$A111</f>
        <v>838.95669850680247</v>
      </c>
      <c r="F111" s="10">
        <f>C111/(1+$B$1)^$A111</f>
        <v>823.04526748971182</v>
      </c>
      <c r="G111" s="10">
        <f t="shared" ref="G111" si="50">F111-E111</f>
        <v>-15.911431017090649</v>
      </c>
      <c r="H111" s="10"/>
      <c r="L111" s="10"/>
      <c r="M111" s="10"/>
      <c r="N111" s="10"/>
      <c r="O111" s="10"/>
      <c r="P111" s="10"/>
      <c r="Q111" s="10"/>
      <c r="R111" s="10"/>
    </row>
    <row r="112" spans="1:18" x14ac:dyDescent="0.25">
      <c r="A112" s="6">
        <v>3</v>
      </c>
      <c r="B112" s="10">
        <v>978.55909313833445</v>
      </c>
      <c r="C112" s="10">
        <f>Työkaluvälilehti!$B$12*(A112-A111)*Työkaluvälilehti!$B$5</f>
        <v>960</v>
      </c>
      <c r="D112" s="10">
        <f t="shared" si="49"/>
        <v>-18.559093138334447</v>
      </c>
      <c r="E112" s="10">
        <f t="shared" ref="E112:F118" si="51">B112/(1+$B$1)^$A112</f>
        <v>776.81175787666893</v>
      </c>
      <c r="F112" s="10">
        <f t="shared" si="48"/>
        <v>762.07895137936282</v>
      </c>
      <c r="G112" s="10">
        <f>F112-E112</f>
        <v>-14.732806497306115</v>
      </c>
      <c r="H112" s="10"/>
      <c r="L112" s="10"/>
      <c r="M112" s="10"/>
      <c r="N112" s="10"/>
      <c r="O112" s="10"/>
      <c r="P112" s="10"/>
      <c r="Q112" s="10"/>
      <c r="R112" s="10"/>
    </row>
    <row r="113" spans="1:18" x14ac:dyDescent="0.25">
      <c r="A113" s="6">
        <v>4</v>
      </c>
      <c r="B113" s="10">
        <v>978.55909313833445</v>
      </c>
      <c r="C113" s="10">
        <f>Työkaluvälilehti!$B$12*(A113-A112)*Työkaluvälilehti!$B$5</f>
        <v>960</v>
      </c>
      <c r="D113" s="10">
        <f>C113-B113</f>
        <v>-18.559093138334447</v>
      </c>
      <c r="E113" s="10">
        <f t="shared" si="51"/>
        <v>719.2701461821008</v>
      </c>
      <c r="F113" s="10">
        <f t="shared" si="51"/>
        <v>705.62865868459517</v>
      </c>
      <c r="G113" s="10">
        <f>F113-E113</f>
        <v>-13.641487497505636</v>
      </c>
      <c r="H113" s="10"/>
      <c r="L113" s="10"/>
      <c r="M113" s="10"/>
      <c r="N113" s="10"/>
      <c r="O113" s="10"/>
      <c r="P113" s="10"/>
      <c r="Q113" s="10"/>
      <c r="R113" s="10"/>
    </row>
    <row r="114" spans="1:18" x14ac:dyDescent="0.25">
      <c r="A114" s="6">
        <v>5</v>
      </c>
      <c r="B114" s="10">
        <v>978.55909313833445</v>
      </c>
      <c r="C114" s="10">
        <f>Työkaluvälilehti!$B$12*(A114-A113)*Työkaluvälilehti!$B$5</f>
        <v>960</v>
      </c>
      <c r="D114" s="10">
        <f>C114-B114</f>
        <v>-18.559093138334447</v>
      </c>
      <c r="E114" s="10">
        <f t="shared" si="51"/>
        <v>665.99087609453773</v>
      </c>
      <c r="F114" s="10">
        <f t="shared" si="51"/>
        <v>653.35986915240289</v>
      </c>
      <c r="G114" s="10">
        <f>F114-E114</f>
        <v>-12.631006942134832</v>
      </c>
      <c r="H114" s="10"/>
      <c r="L114" s="10"/>
      <c r="M114" s="10"/>
      <c r="N114" s="10"/>
      <c r="O114" s="10"/>
      <c r="P114" s="10"/>
      <c r="Q114" s="10"/>
      <c r="R114" s="10"/>
    </row>
    <row r="115" spans="1:18" x14ac:dyDescent="0.25">
      <c r="A115" s="6">
        <v>6</v>
      </c>
      <c r="B115" s="10">
        <v>978.55909313833445</v>
      </c>
      <c r="C115" s="10">
        <f>Työkaluvälilehti!$B$12*(A115-A114)*Työkaluvälilehti!$B$5</f>
        <v>960</v>
      </c>
      <c r="D115" s="10">
        <f>C115-B115</f>
        <v>-18.559093138334447</v>
      </c>
      <c r="E115" s="10">
        <f t="shared" si="51"/>
        <v>616.65821860605342</v>
      </c>
      <c r="F115" s="10">
        <f t="shared" si="51"/>
        <v>604.96284180778036</v>
      </c>
      <c r="G115" s="10">
        <f>F115-E115</f>
        <v>-11.69537679827306</v>
      </c>
      <c r="H115" s="10"/>
      <c r="L115" s="10"/>
      <c r="M115" s="10"/>
      <c r="N115" s="10"/>
      <c r="O115" s="10"/>
      <c r="P115" s="10"/>
      <c r="Q115" s="10"/>
      <c r="R115" s="10"/>
    </row>
    <row r="116" spans="1:18" x14ac:dyDescent="0.25">
      <c r="A116" s="6">
        <v>7</v>
      </c>
      <c r="B116" s="10">
        <v>978.55909313833445</v>
      </c>
      <c r="C116" s="10">
        <f>Työkaluvälilehti!$B$12*(A116-A115)*Työkaluvälilehti!$B$5</f>
        <v>960</v>
      </c>
      <c r="D116" s="10">
        <f t="shared" ref="D116:D117" si="52">C116-B116</f>
        <v>-18.559093138334447</v>
      </c>
      <c r="E116" s="10">
        <f>B116/(1+$B$1)^$A116</f>
        <v>570.97983204264199</v>
      </c>
      <c r="F116" s="10">
        <f t="shared" si="51"/>
        <v>560.15077945164853</v>
      </c>
      <c r="G116" s="10">
        <f>F116-E116</f>
        <v>-10.829052590993456</v>
      </c>
      <c r="H116" s="10"/>
      <c r="L116" s="10"/>
      <c r="M116" s="10"/>
      <c r="N116" s="10"/>
      <c r="O116" s="10"/>
      <c r="P116" s="10"/>
      <c r="Q116" s="10"/>
      <c r="R116" s="10"/>
    </row>
    <row r="117" spans="1:18" x14ac:dyDescent="0.25">
      <c r="A117" s="6">
        <v>8</v>
      </c>
      <c r="B117" s="10">
        <v>978.55909313833445</v>
      </c>
      <c r="C117" s="10">
        <f>Työkaluvälilehti!$B$12*(A117-A116)*Työkaluvälilehti!$B$5</f>
        <v>960</v>
      </c>
      <c r="D117" s="10">
        <f t="shared" si="52"/>
        <v>-18.559093138334447</v>
      </c>
      <c r="E117" s="10">
        <f t="shared" ref="E117" si="53">B117/(1+$B$1)^$A117</f>
        <v>528.68502966911296</v>
      </c>
      <c r="F117" s="10">
        <f t="shared" si="51"/>
        <v>518.65812912189676</v>
      </c>
      <c r="G117" s="10">
        <f t="shared" ref="G117:G118" si="54">F117-E117</f>
        <v>-10.026900547216201</v>
      </c>
      <c r="H117" s="10"/>
      <c r="L117" s="10"/>
      <c r="M117" s="10"/>
      <c r="N117" s="10"/>
      <c r="O117" s="10"/>
      <c r="P117" s="10"/>
      <c r="Q117" s="10"/>
      <c r="R117" s="10"/>
    </row>
    <row r="118" spans="1:18" x14ac:dyDescent="0.25">
      <c r="A118" s="6">
        <v>9</v>
      </c>
      <c r="B118" s="10">
        <v>978.55909313833445</v>
      </c>
      <c r="C118" s="10">
        <f>Työkaluvälilehti!$B$12*(A118-A117)*Työkaluvälilehti!$B$5</f>
        <v>960</v>
      </c>
      <c r="D118" s="10">
        <f>C118-B118</f>
        <v>-18.559093138334447</v>
      </c>
      <c r="E118" s="10">
        <f>B118/(1+$B$1)^$A118</f>
        <v>489.52317561954902</v>
      </c>
      <c r="F118" s="10">
        <f t="shared" si="51"/>
        <v>480.23900844620067</v>
      </c>
      <c r="G118" s="10">
        <f t="shared" si="54"/>
        <v>-9.2841671733483508</v>
      </c>
      <c r="H118" s="10"/>
      <c r="L118" s="10"/>
      <c r="M118" s="10"/>
      <c r="N118" s="10"/>
      <c r="O118" s="10"/>
      <c r="P118" s="10"/>
      <c r="Q118" s="10"/>
      <c r="R118" s="10"/>
    </row>
    <row r="119" spans="1:18" x14ac:dyDescent="0.25">
      <c r="A119" s="6">
        <v>10</v>
      </c>
      <c r="B119" s="10">
        <v>1008.9054497274817</v>
      </c>
      <c r="C119" s="10">
        <f>Työkaluvälilehti!$B$12*(A119-A118)*Työkaluvälilehti!$B$5</f>
        <v>960</v>
      </c>
      <c r="D119" s="10">
        <f>C119-B119</f>
        <v>-48.905449727481709</v>
      </c>
      <c r="E119" s="10">
        <f>B119/(1+$B$1)^$A119</f>
        <v>467.31843440691932</v>
      </c>
      <c r="F119" s="10">
        <f>C119/(1+$B$1)^$A119</f>
        <v>444.66574856129688</v>
      </c>
      <c r="G119" s="10">
        <f>F119-E119</f>
        <v>-22.652685845622443</v>
      </c>
      <c r="H119" s="10"/>
      <c r="L119" s="10"/>
      <c r="M119" s="10"/>
      <c r="N119" s="10"/>
      <c r="O119" s="10"/>
      <c r="P119" s="10"/>
      <c r="Q119" s="10"/>
      <c r="R119" s="10"/>
    </row>
    <row r="120" spans="1:18" x14ac:dyDescent="0.25">
      <c r="A120" s="6" t="s">
        <v>103</v>
      </c>
      <c r="B120" s="10" t="s">
        <v>107</v>
      </c>
      <c r="C120" s="10" t="s">
        <v>98</v>
      </c>
      <c r="D120" s="10" t="s">
        <v>99</v>
      </c>
      <c r="E120" s="10" t="s">
        <v>100</v>
      </c>
      <c r="F120" s="10" t="s">
        <v>101</v>
      </c>
      <c r="G120" s="10" t="s">
        <v>102</v>
      </c>
      <c r="H120" s="10" t="s">
        <v>83</v>
      </c>
      <c r="L120" s="10"/>
      <c r="M120" s="10"/>
      <c r="N120" s="10"/>
      <c r="O120" s="10"/>
      <c r="P120" s="10"/>
      <c r="Q120" s="10"/>
      <c r="R120" s="10"/>
    </row>
    <row r="121" spans="1:18" x14ac:dyDescent="0.25">
      <c r="B121" s="10">
        <f>SUM(B109:B119)</f>
        <v>10167.398124127083</v>
      </c>
      <c r="C121" s="10">
        <f t="shared" ref="C121:G121" si="55">SUM(C109:C119)</f>
        <v>8640</v>
      </c>
      <c r="D121" s="10">
        <f t="shared" si="55"/>
        <v>-1527.3981241270862</v>
      </c>
      <c r="E121" s="10">
        <f t="shared" si="55"/>
        <v>6997.6238596141866</v>
      </c>
      <c r="F121" s="10">
        <f t="shared" si="55"/>
        <v>5552.7892540948951</v>
      </c>
      <c r="G121" s="10">
        <f t="shared" si="55"/>
        <v>-1444.8346055192922</v>
      </c>
      <c r="H121" s="10">
        <f>G121/(1-(1/(1+$B$1))^(A119))</f>
        <v>-2691.5370314047577</v>
      </c>
      <c r="L121" s="10"/>
      <c r="M121" s="10"/>
      <c r="N121" s="10"/>
      <c r="O121" s="10"/>
      <c r="P121" s="10"/>
      <c r="Q121" s="10"/>
      <c r="R121" s="10"/>
    </row>
    <row r="122" spans="1:18" x14ac:dyDescent="0.25">
      <c r="B122" s="10" t="s">
        <v>104</v>
      </c>
      <c r="C122" s="10">
        <v>1844.739812412708</v>
      </c>
      <c r="D122" s="10"/>
      <c r="E122" s="10"/>
      <c r="F122" s="10"/>
      <c r="G122" s="10"/>
      <c r="H122" s="10"/>
      <c r="L122" s="10"/>
      <c r="M122" s="10"/>
      <c r="N122" s="10"/>
      <c r="O122" s="10"/>
      <c r="P122" s="10"/>
      <c r="Q122" s="10"/>
      <c r="R122" s="10"/>
    </row>
    <row r="123" spans="1:18" x14ac:dyDescent="0.25">
      <c r="A123" s="6" t="s">
        <v>11</v>
      </c>
      <c r="B123" s="10"/>
      <c r="C123" s="10"/>
      <c r="D123" s="10"/>
      <c r="E123" s="10"/>
      <c r="F123" s="10"/>
      <c r="G123" s="10"/>
      <c r="H123" s="10"/>
      <c r="L123" s="10"/>
      <c r="M123" s="10"/>
      <c r="N123" s="10"/>
      <c r="O123" s="10"/>
      <c r="P123" s="10"/>
      <c r="Q123" s="10"/>
      <c r="R123" s="10"/>
    </row>
    <row r="124" spans="1:18" x14ac:dyDescent="0.25">
      <c r="A124" s="6" t="s">
        <v>78</v>
      </c>
      <c r="B124" s="10" t="s">
        <v>107</v>
      </c>
      <c r="C124" s="10" t="s">
        <v>98</v>
      </c>
      <c r="D124" s="10" t="s">
        <v>99</v>
      </c>
      <c r="E124" s="10" t="s">
        <v>100</v>
      </c>
      <c r="F124" s="10" t="s">
        <v>101</v>
      </c>
      <c r="G124" s="10" t="s">
        <v>102</v>
      </c>
      <c r="H124" s="10"/>
      <c r="L124" s="10"/>
      <c r="M124" s="10"/>
      <c r="N124" s="10"/>
      <c r="O124" s="10"/>
      <c r="P124" s="10"/>
      <c r="Q124" s="10"/>
      <c r="R124" s="10"/>
    </row>
    <row r="125" spans="1:18" x14ac:dyDescent="0.25">
      <c r="A125" s="6">
        <v>0</v>
      </c>
      <c r="B125" s="10">
        <v>964.17833333333328</v>
      </c>
      <c r="C125" s="10">
        <v>0</v>
      </c>
      <c r="D125" s="10">
        <f>C125-B125</f>
        <v>-964.17833333333328</v>
      </c>
      <c r="E125" s="10">
        <f>B125/(1+$B$1)^$A125</f>
        <v>964.17833333333328</v>
      </c>
      <c r="F125" s="10">
        <f>C125/(1+$B$1)^$A125</f>
        <v>0</v>
      </c>
      <c r="G125" s="10">
        <f>F125-E125</f>
        <v>-964.17833333333328</v>
      </c>
      <c r="H125" s="10"/>
      <c r="L125" s="10"/>
      <c r="M125" s="10"/>
      <c r="N125" s="10"/>
      <c r="O125" s="10"/>
      <c r="P125" s="10"/>
      <c r="Q125" s="10"/>
      <c r="R125" s="10"/>
    </row>
    <row r="126" spans="1:18" x14ac:dyDescent="0.25">
      <c r="A126" s="6">
        <v>1</v>
      </c>
      <c r="B126" s="10">
        <v>685.90959595959589</v>
      </c>
      <c r="C126" s="10">
        <v>0</v>
      </c>
      <c r="D126" s="10">
        <f>C126-B126</f>
        <v>-685.90959595959589</v>
      </c>
      <c r="E126" s="10">
        <f>B126/(1+$B$1)^$A126</f>
        <v>635.10147774036648</v>
      </c>
      <c r="F126" s="10">
        <f t="shared" ref="F126:F128" si="56">C126/(1+$B$1)^$A126</f>
        <v>0</v>
      </c>
      <c r="G126" s="10">
        <f>F126-E126</f>
        <v>-635.10147774036648</v>
      </c>
      <c r="H126" s="10"/>
      <c r="L126" s="10"/>
      <c r="M126" s="10"/>
      <c r="N126" s="10"/>
      <c r="O126" s="10"/>
      <c r="P126" s="10"/>
      <c r="Q126" s="10"/>
      <c r="R126" s="10"/>
    </row>
    <row r="127" spans="1:18" x14ac:dyDescent="0.25">
      <c r="A127" s="6">
        <v>2</v>
      </c>
      <c r="B127" s="10">
        <v>1276.4018032045042</v>
      </c>
      <c r="C127" s="10">
        <f>Työkaluvälilehti!$B$13*(A127-A126)*Työkaluvälilehti!$B$6</f>
        <v>1500</v>
      </c>
      <c r="D127" s="10">
        <f t="shared" ref="D127:D128" si="57">C127-B127</f>
        <v>223.59819679549582</v>
      </c>
      <c r="E127" s="10">
        <f>B127/(1+$B$1)^$A127</f>
        <v>1094.3088161904184</v>
      </c>
      <c r="F127" s="10">
        <f>C127/(1+$B$1)^$A127</f>
        <v>1286.0082304526748</v>
      </c>
      <c r="G127" s="10">
        <f>F127-E127</f>
        <v>191.69941426225637</v>
      </c>
      <c r="H127" s="10"/>
      <c r="L127" s="10"/>
      <c r="M127" s="10"/>
      <c r="N127" s="10"/>
      <c r="O127" s="10"/>
      <c r="P127" s="10"/>
      <c r="Q127" s="10"/>
      <c r="R127" s="10"/>
    </row>
    <row r="128" spans="1:18" x14ac:dyDescent="0.25">
      <c r="A128" s="6">
        <v>3</v>
      </c>
      <c r="B128" s="10">
        <v>1276.4018032045042</v>
      </c>
      <c r="C128" s="10">
        <f>Työkaluvälilehti!$B$13*(A128-A127)*Työkaluvälilehti!$B$6</f>
        <v>1500</v>
      </c>
      <c r="D128" s="10">
        <f t="shared" si="57"/>
        <v>223.59819679549582</v>
      </c>
      <c r="E128" s="10">
        <f t="shared" ref="E128:F133" si="58">B128/(1+$B$1)^$A128</f>
        <v>1013.248903880017</v>
      </c>
      <c r="F128" s="10">
        <f t="shared" si="56"/>
        <v>1190.7483615302544</v>
      </c>
      <c r="G128" s="10">
        <f t="shared" ref="G128" si="59">F128-E128</f>
        <v>177.49945765023745</v>
      </c>
      <c r="H128" s="10"/>
      <c r="L128" s="10"/>
      <c r="M128" s="10"/>
      <c r="N128" s="10"/>
      <c r="O128" s="10"/>
      <c r="P128" s="10"/>
      <c r="Q128" s="10"/>
      <c r="R128" s="10"/>
    </row>
    <row r="129" spans="1:18" x14ac:dyDescent="0.25">
      <c r="A129" s="6">
        <v>4</v>
      </c>
      <c r="B129" s="10">
        <v>1276.4018032045042</v>
      </c>
      <c r="C129" s="10">
        <f>Työkaluvälilehti!$B$13*(A129-A128)*Työkaluvälilehti!$B$6</f>
        <v>1500</v>
      </c>
      <c r="D129" s="10">
        <f>C129-B129</f>
        <v>223.59819679549582</v>
      </c>
      <c r="E129" s="10">
        <f t="shared" si="58"/>
        <v>938.19342951853423</v>
      </c>
      <c r="F129" s="10">
        <f t="shared" si="58"/>
        <v>1102.5447791946799</v>
      </c>
      <c r="G129" s="10">
        <f>F129-E129</f>
        <v>164.35134967614567</v>
      </c>
      <c r="H129" s="10"/>
      <c r="L129" s="10"/>
      <c r="M129" s="10"/>
      <c r="N129" s="10"/>
      <c r="O129" s="10"/>
      <c r="P129" s="10"/>
      <c r="Q129" s="10"/>
      <c r="R129" s="10"/>
    </row>
    <row r="130" spans="1:18" x14ac:dyDescent="0.25">
      <c r="A130" s="6">
        <v>5</v>
      </c>
      <c r="B130" s="10">
        <v>1802.0945163827987</v>
      </c>
      <c r="C130" s="10">
        <f>Työkaluvälilehti!$B$13*(A130-A129)*Työkaluvälilehti!$B$6</f>
        <v>1500</v>
      </c>
      <c r="D130" s="10">
        <f>C130-B130</f>
        <v>-302.0945163827987</v>
      </c>
      <c r="E130" s="10">
        <f t="shared" si="58"/>
        <v>1226.4752473168001</v>
      </c>
      <c r="F130" s="10">
        <f t="shared" si="58"/>
        <v>1020.8747955506295</v>
      </c>
      <c r="G130" s="10">
        <f>F130-E130</f>
        <v>-205.60045176617052</v>
      </c>
      <c r="H130" s="10"/>
      <c r="L130" s="10"/>
      <c r="M130" s="10"/>
      <c r="N130" s="10"/>
      <c r="O130" s="10"/>
      <c r="P130" s="10"/>
      <c r="Q130" s="10"/>
      <c r="R130" s="10"/>
    </row>
    <row r="131" spans="1:18" x14ac:dyDescent="0.25">
      <c r="A131" s="6">
        <v>6</v>
      </c>
      <c r="B131" s="10">
        <v>1276.4018032045042</v>
      </c>
      <c r="C131" s="10">
        <f>Työkaluvälilehti!$B$13*(A131-A130)*Työkaluvälilehti!$B$6</f>
        <v>1500</v>
      </c>
      <c r="D131" s="10">
        <f>C131-B131</f>
        <v>223.59819679549582</v>
      </c>
      <c r="E131" s="10">
        <f t="shared" si="58"/>
        <v>804.3496480783042</v>
      </c>
      <c r="F131" s="10">
        <f t="shared" si="58"/>
        <v>945.2544403246568</v>
      </c>
      <c r="G131" s="10">
        <f>F131-E131</f>
        <v>140.9047922463526</v>
      </c>
      <c r="H131" s="10"/>
      <c r="L131" s="10"/>
      <c r="M131" s="10"/>
      <c r="N131" s="10"/>
      <c r="O131" s="10"/>
      <c r="P131" s="10"/>
      <c r="Q131" s="10"/>
      <c r="R131" s="10"/>
    </row>
    <row r="132" spans="1:18" x14ac:dyDescent="0.25">
      <c r="A132" s="6">
        <v>7</v>
      </c>
      <c r="B132" s="10">
        <v>1276.4018032045042</v>
      </c>
      <c r="C132" s="10">
        <f>Työkaluvälilehti!$B$13*(A132-A131)*Työkaluvälilehti!$B$6</f>
        <v>1500</v>
      </c>
      <c r="D132" s="10">
        <f t="shared" ref="D132:D133" si="60">C132-B132</f>
        <v>223.59819679549582</v>
      </c>
      <c r="E132" s="10">
        <f t="shared" si="58"/>
        <v>744.76819266509654</v>
      </c>
      <c r="F132" s="10">
        <f t="shared" si="58"/>
        <v>875.23559289320076</v>
      </c>
      <c r="G132" s="10">
        <f>F132-E132</f>
        <v>130.46740022810422</v>
      </c>
      <c r="H132" s="10"/>
      <c r="L132" s="10"/>
      <c r="M132" s="10"/>
      <c r="N132" s="10"/>
      <c r="O132" s="10"/>
      <c r="P132" s="10"/>
      <c r="Q132" s="10"/>
      <c r="R132" s="10"/>
    </row>
    <row r="133" spans="1:18" x14ac:dyDescent="0.25">
      <c r="A133" s="6">
        <v>8</v>
      </c>
      <c r="B133" s="10">
        <v>1276.4018032045042</v>
      </c>
      <c r="C133" s="10">
        <f>Työkaluvälilehti!$B$13*(A133-A132)*Työkaluvälilehti!$B$6</f>
        <v>1500</v>
      </c>
      <c r="D133" s="10">
        <f t="shared" si="60"/>
        <v>223.59819679549582</v>
      </c>
      <c r="E133" s="10">
        <f t="shared" si="58"/>
        <v>689.60017839360785</v>
      </c>
      <c r="F133" s="10">
        <f>C133/(1+$B$1)^$A133</f>
        <v>810.40332675296361</v>
      </c>
      <c r="G133" s="10">
        <f t="shared" ref="G133:G134" si="61">F133-E133</f>
        <v>120.80314835935576</v>
      </c>
      <c r="H133" s="10"/>
      <c r="L133" s="10"/>
      <c r="M133" s="10"/>
      <c r="N133" s="10"/>
      <c r="O133" s="10"/>
      <c r="P133" s="10"/>
      <c r="Q133" s="10"/>
      <c r="R133" s="10"/>
    </row>
    <row r="134" spans="1:18" x14ac:dyDescent="0.25">
      <c r="A134" s="6">
        <v>9</v>
      </c>
      <c r="B134" s="10">
        <v>1276.4018032045042</v>
      </c>
      <c r="C134" s="10">
        <f>Työkaluvälilehti!$B$13*(A134-A133)*Työkaluvälilehti!$B$6</f>
        <v>1500</v>
      </c>
      <c r="D134" s="10">
        <f>C134-B134</f>
        <v>223.59819679549582</v>
      </c>
      <c r="E134" s="10">
        <f>B134/(1+$B$1)^$A134</f>
        <v>638.51868369778504</v>
      </c>
      <c r="F134" s="10">
        <f>C134/(1+$B$1)^$A134</f>
        <v>750.37345069718856</v>
      </c>
      <c r="G134" s="10">
        <f t="shared" si="61"/>
        <v>111.85476699940352</v>
      </c>
      <c r="H134" s="10"/>
      <c r="L134" s="10"/>
      <c r="M134" s="10"/>
      <c r="N134" s="10"/>
      <c r="O134" s="10"/>
      <c r="P134" s="10"/>
      <c r="Q134" s="10"/>
      <c r="R134" s="10"/>
    </row>
    <row r="135" spans="1:18" x14ac:dyDescent="0.25">
      <c r="A135" s="6">
        <v>10</v>
      </c>
      <c r="B135" s="10">
        <v>651.18492042320304</v>
      </c>
      <c r="C135" s="10">
        <f>Työkaluvälilehti!$B$13*(A135-A134)*Työkaluvälilehti!$B$6</f>
        <v>1500</v>
      </c>
      <c r="D135" s="10">
        <f>C135-B135</f>
        <v>848.81507957679696</v>
      </c>
      <c r="E135" s="10">
        <f>B135/(1+$B$1)^$A135</f>
        <v>301.62461467897094</v>
      </c>
      <c r="F135" s="10">
        <f>C135/(1+$B$1)^$A135</f>
        <v>694.79023212702634</v>
      </c>
      <c r="G135" s="10">
        <f>F135-E135</f>
        <v>393.1656174480554</v>
      </c>
      <c r="H135" s="10"/>
      <c r="L135" s="10"/>
      <c r="M135" s="10"/>
      <c r="N135" s="10"/>
      <c r="O135" s="10"/>
      <c r="P135" s="10"/>
      <c r="Q135" s="10"/>
      <c r="R135" s="10"/>
    </row>
    <row r="136" spans="1:18" x14ac:dyDescent="0.25">
      <c r="A136" s="6" t="s">
        <v>103</v>
      </c>
      <c r="B136" s="10" t="s">
        <v>107</v>
      </c>
      <c r="C136" s="10" t="s">
        <v>98</v>
      </c>
      <c r="D136" s="10" t="s">
        <v>99</v>
      </c>
      <c r="E136" s="10" t="s">
        <v>100</v>
      </c>
      <c r="F136" s="10" t="s">
        <v>101</v>
      </c>
      <c r="G136" s="10" t="s">
        <v>102</v>
      </c>
      <c r="H136" s="10" t="s">
        <v>83</v>
      </c>
      <c r="L136" s="10"/>
      <c r="M136" s="10"/>
      <c r="N136" s="10"/>
      <c r="O136" s="10"/>
      <c r="P136" s="10"/>
      <c r="Q136" s="10"/>
      <c r="R136" s="10"/>
    </row>
    <row r="137" spans="1:18" x14ac:dyDescent="0.25">
      <c r="B137" s="10">
        <f>SUM(B125:B135)</f>
        <v>13038.179988530461</v>
      </c>
      <c r="C137" s="10">
        <f t="shared" ref="C137:F137" si="62">SUM(C125:C135)</f>
        <v>13500</v>
      </c>
      <c r="D137" s="10">
        <f t="shared" si="62"/>
        <v>461.82001146953985</v>
      </c>
      <c r="E137" s="10">
        <f t="shared" si="62"/>
        <v>9050.3675254932332</v>
      </c>
      <c r="F137" s="10">
        <f t="shared" si="62"/>
        <v>8676.2332095232759</v>
      </c>
      <c r="G137" s="10">
        <f>SUM(G125:G135)</f>
        <v>-374.13431596995929</v>
      </c>
      <c r="H137" s="10">
        <f>G137/(1-(1/(1+$B$1))^(A135))</f>
        <v>-696.96307266291319</v>
      </c>
      <c r="L137" s="10"/>
      <c r="M137" s="10"/>
      <c r="N137" s="10"/>
      <c r="O137" s="10"/>
      <c r="P137" s="10"/>
      <c r="Q137" s="10"/>
      <c r="R137" s="10"/>
    </row>
  </sheetData>
  <sheetProtection selectLockedCells="1" selectUnlockedCells="1"/>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C71905-FE92-4CC1-A96C-942500449967}">
  <dimension ref="A1:W137"/>
  <sheetViews>
    <sheetView workbookViewId="0">
      <selection activeCell="K5" sqref="K5:K29"/>
    </sheetView>
  </sheetViews>
  <sheetFormatPr defaultColWidth="4.7109375" defaultRowHeight="15" x14ac:dyDescent="0.25"/>
  <cols>
    <col min="1" max="1" width="4.85546875" style="6" bestFit="1" customWidth="1"/>
    <col min="2" max="4" width="6" style="6" bestFit="1" customWidth="1"/>
    <col min="5" max="5" width="5.7109375" style="6" bestFit="1" customWidth="1"/>
    <col min="6" max="8" width="5.85546875" style="6" bestFit="1" customWidth="1"/>
    <col min="9" max="9" width="5.7109375" style="6" bestFit="1" customWidth="1"/>
    <col min="10" max="10" width="4.7109375" style="6"/>
    <col min="11" max="11" width="7" style="6" customWidth="1"/>
    <col min="12" max="16384" width="4.7109375" style="6"/>
  </cols>
  <sheetData>
    <row r="1" spans="1:23" x14ac:dyDescent="0.25">
      <c r="A1" s="6" t="s">
        <v>94</v>
      </c>
      <c r="B1" s="6">
        <v>7.0000000000000007E-2</v>
      </c>
    </row>
    <row r="3" spans="1:23" x14ac:dyDescent="0.25">
      <c r="A3" s="6" t="s">
        <v>95</v>
      </c>
    </row>
    <row r="4" spans="1:23" x14ac:dyDescent="0.25">
      <c r="A4" s="6" t="s">
        <v>78</v>
      </c>
      <c r="B4" s="6" t="s">
        <v>96</v>
      </c>
      <c r="C4" s="6" t="s">
        <v>97</v>
      </c>
      <c r="D4" s="6" t="s">
        <v>98</v>
      </c>
      <c r="E4" s="6" t="s">
        <v>99</v>
      </c>
      <c r="F4" s="6" t="s">
        <v>100</v>
      </c>
      <c r="G4" s="6" t="s">
        <v>101</v>
      </c>
      <c r="H4" s="6" t="s">
        <v>102</v>
      </c>
      <c r="T4" s="10"/>
      <c r="U4" s="10"/>
    </row>
    <row r="5" spans="1:23" x14ac:dyDescent="0.25">
      <c r="A5" s="6">
        <v>0</v>
      </c>
      <c r="B5" s="10">
        <v>2623.0520000000001</v>
      </c>
      <c r="C5" s="6">
        <v>0</v>
      </c>
      <c r="D5" s="10">
        <v>0</v>
      </c>
      <c r="E5" s="10">
        <f>D5-B5-C5</f>
        <v>-2623.0520000000001</v>
      </c>
      <c r="F5" s="10">
        <f>B5/(1+$B$1)^$A5+C5/(1+$B$1)^$A5</f>
        <v>2623.0520000000001</v>
      </c>
      <c r="G5" s="10">
        <f t="shared" ref="G5:G12" si="0">D5/(1+$B$1)^$A5</f>
        <v>0</v>
      </c>
      <c r="H5" s="10">
        <f>G5-F5</f>
        <v>-2623.0520000000001</v>
      </c>
      <c r="I5" s="10"/>
      <c r="K5" s="10">
        <f>E5/(1+$B$1)^(A5)</f>
        <v>-2623.0520000000001</v>
      </c>
      <c r="L5" s="10"/>
      <c r="M5" s="10"/>
      <c r="N5" s="10"/>
      <c r="O5" s="10"/>
      <c r="P5" s="10"/>
      <c r="Q5" s="10"/>
      <c r="R5" s="10"/>
    </row>
    <row r="6" spans="1:23" x14ac:dyDescent="0.25">
      <c r="A6" s="6">
        <v>1</v>
      </c>
      <c r="B6" s="10">
        <v>123.69</v>
      </c>
      <c r="C6" s="6">
        <v>0</v>
      </c>
      <c r="D6" s="10">
        <v>0</v>
      </c>
      <c r="E6" s="10">
        <f t="shared" ref="E6:E12" si="1">D6-B6-C6</f>
        <v>-123.69</v>
      </c>
      <c r="F6" s="10">
        <f t="shared" ref="F6" si="2">B6/(1+$B$1)^$A6+C6/(1+$B$1)^$A6</f>
        <v>115.59813084112149</v>
      </c>
      <c r="G6" s="10">
        <f t="shared" si="0"/>
        <v>0</v>
      </c>
      <c r="H6" s="10">
        <f>G6-F6</f>
        <v>-115.59813084112149</v>
      </c>
      <c r="I6" s="10"/>
      <c r="K6" s="10">
        <f t="shared" ref="K6:K12" si="3">E6/(1+$B$1)^(A6)</f>
        <v>-115.59813084112149</v>
      </c>
      <c r="L6" s="10"/>
      <c r="M6" s="10"/>
      <c r="N6" s="10"/>
      <c r="O6" s="10"/>
      <c r="P6" s="10"/>
      <c r="Q6" s="10"/>
      <c r="R6" s="10"/>
      <c r="S6" s="13"/>
      <c r="T6" s="10"/>
      <c r="U6" s="10"/>
      <c r="V6" s="10"/>
      <c r="W6" s="10"/>
    </row>
    <row r="7" spans="1:23" x14ac:dyDescent="0.25">
      <c r="A7" s="6">
        <v>5</v>
      </c>
      <c r="B7" s="10">
        <v>366.1198</v>
      </c>
      <c r="C7" s="6">
        <f>750.215+224.759*Laskuri!$B$13-1.873*Laskuri!$B$13^2</f>
        <v>1827.1849999999997</v>
      </c>
      <c r="D7" s="10">
        <f>Työkaluvälilehti!$B$10*(A7-A6)*Työkaluvälilehti!$B$2</f>
        <v>2510.2560000000003</v>
      </c>
      <c r="E7" s="10">
        <f>D7-B7-C7</f>
        <v>316.95120000000065</v>
      </c>
      <c r="F7" s="10">
        <f t="shared" ref="F7:F12" si="4">B7/(1+$B$1)^$A7+C7/(1+$B$1)^$A7</f>
        <v>1563.7960097951911</v>
      </c>
      <c r="G7" s="10">
        <f t="shared" si="0"/>
        <v>1789.7778349659557</v>
      </c>
      <c r="H7" s="10">
        <f t="shared" ref="H7:H11" si="5">G7-F7</f>
        <v>225.98182517076452</v>
      </c>
      <c r="I7" s="10"/>
      <c r="K7" s="10">
        <f t="shared" si="3"/>
        <v>225.98182517076452</v>
      </c>
      <c r="L7" s="10"/>
      <c r="M7" s="10"/>
      <c r="N7" s="10"/>
      <c r="O7" s="10"/>
      <c r="P7" s="10"/>
      <c r="Q7" s="10"/>
      <c r="R7" s="10"/>
      <c r="S7" s="13"/>
    </row>
    <row r="8" spans="1:23" x14ac:dyDescent="0.25">
      <c r="A8" s="6">
        <v>9</v>
      </c>
      <c r="B8" s="10">
        <v>366.1198</v>
      </c>
      <c r="C8" s="6">
        <f>750.215+224.759*Laskuri!$B$13-1.873*Laskuri!$B$13^2</f>
        <v>1827.1849999999997</v>
      </c>
      <c r="D8" s="10">
        <f>Työkaluvälilehti!$B$10*(A8-A7)*Työkaluvälilehti!$B$2</f>
        <v>2510.2560000000003</v>
      </c>
      <c r="E8" s="10">
        <f>D8-B8-C8</f>
        <v>316.95120000000065</v>
      </c>
      <c r="F8" s="10">
        <f t="shared" si="4"/>
        <v>1193.0124884917761</v>
      </c>
      <c r="G8" s="10">
        <f t="shared" si="0"/>
        <v>1365.4129409243133</v>
      </c>
      <c r="H8" s="10">
        <f t="shared" si="5"/>
        <v>172.40045243253712</v>
      </c>
      <c r="I8" s="10"/>
      <c r="K8" s="10">
        <f t="shared" si="3"/>
        <v>172.40045243253718</v>
      </c>
      <c r="L8" s="10"/>
      <c r="M8" s="10"/>
      <c r="N8" s="10"/>
      <c r="O8" s="10"/>
      <c r="P8" s="10"/>
      <c r="Q8" s="10"/>
      <c r="R8" s="10"/>
      <c r="S8" s="13"/>
    </row>
    <row r="9" spans="1:23" x14ac:dyDescent="0.25">
      <c r="A9" s="6">
        <v>13</v>
      </c>
      <c r="B9" s="10">
        <v>366.1198</v>
      </c>
      <c r="C9" s="6">
        <f>750.215+224.759*Laskuri!$B$13-1.873*Laskuri!$B$13^2</f>
        <v>1827.1849999999997</v>
      </c>
      <c r="D9" s="10">
        <f>Työkaluvälilehti!$B$10*(A9-A8)*Työkaluvälilehti!$B$2</f>
        <v>2510.2560000000003</v>
      </c>
      <c r="E9" s="10">
        <f>D9-B9-C9</f>
        <v>316.95120000000065</v>
      </c>
      <c r="F9" s="10">
        <f>B9/(1+$B$1)^$A9+C9/(1+$B$1)^$A9</f>
        <v>910.14351538327935</v>
      </c>
      <c r="G9" s="10">
        <f t="shared" si="0"/>
        <v>1041.6669950988889</v>
      </c>
      <c r="H9" s="10">
        <f t="shared" si="5"/>
        <v>131.5234797156096</v>
      </c>
      <c r="I9" s="10"/>
      <c r="K9" s="10">
        <f t="shared" si="3"/>
        <v>131.52347971560974</v>
      </c>
      <c r="L9" s="10"/>
      <c r="M9" s="10"/>
      <c r="N9" s="10"/>
      <c r="O9" s="10"/>
      <c r="P9" s="10"/>
      <c r="Q9" s="10"/>
      <c r="R9" s="10"/>
      <c r="S9" s="13"/>
    </row>
    <row r="10" spans="1:23" x14ac:dyDescent="0.25">
      <c r="A10" s="6">
        <v>17</v>
      </c>
      <c r="B10" s="10">
        <v>366.1198</v>
      </c>
      <c r="C10" s="6">
        <f>750.215+224.759*Laskuri!$B$13-1.873*Laskuri!$B$13^2</f>
        <v>1827.1849999999997</v>
      </c>
      <c r="D10" s="10">
        <f>Työkaluvälilehti!$B$10*(A10-A9)*Työkaluvälilehti!$B$2</f>
        <v>2510.2560000000003</v>
      </c>
      <c r="E10" s="10">
        <f t="shared" si="1"/>
        <v>316.95120000000065</v>
      </c>
      <c r="F10" s="10">
        <f t="shared" si="4"/>
        <v>694.34413016200688</v>
      </c>
      <c r="G10" s="10">
        <f t="shared" si="0"/>
        <v>794.68276310887541</v>
      </c>
      <c r="H10" s="10">
        <f t="shared" si="5"/>
        <v>100.33863294686853</v>
      </c>
      <c r="I10" s="10"/>
      <c r="K10" s="10">
        <f t="shared" si="3"/>
        <v>100.33863294686847</v>
      </c>
      <c r="L10" s="10"/>
      <c r="M10" s="10"/>
      <c r="N10" s="10"/>
      <c r="O10" s="10"/>
      <c r="P10" s="10"/>
      <c r="Q10" s="10"/>
      <c r="R10" s="10"/>
      <c r="S10" s="13"/>
    </row>
    <row r="11" spans="1:23" x14ac:dyDescent="0.25">
      <c r="A11" s="6">
        <v>21</v>
      </c>
      <c r="B11" s="10">
        <v>59</v>
      </c>
      <c r="C11" s="6">
        <f>750.215+224.759*Laskuri!$B$13-1.873*Laskuri!$B$13^2</f>
        <v>1827.1849999999997</v>
      </c>
      <c r="D11" s="10">
        <f>Työkaluvälilehti!$B$10*(A11-A10)*Työkaluvälilehti!$B$2</f>
        <v>2510.2560000000003</v>
      </c>
      <c r="E11" s="10">
        <f t="shared" si="1"/>
        <v>624.07100000000059</v>
      </c>
      <c r="F11" s="10">
        <f t="shared" si="4"/>
        <v>455.53836151633351</v>
      </c>
      <c r="G11" s="10">
        <f t="shared" si="0"/>
        <v>606.25967507245866</v>
      </c>
      <c r="H11" s="10">
        <f t="shared" si="5"/>
        <v>150.72131355612515</v>
      </c>
      <c r="I11" s="10"/>
      <c r="K11" s="10">
        <f t="shared" si="3"/>
        <v>150.72131355612524</v>
      </c>
      <c r="L11" s="10"/>
      <c r="M11" s="10"/>
      <c r="N11" s="10"/>
      <c r="O11" s="10"/>
      <c r="P11" s="10"/>
      <c r="Q11" s="10"/>
      <c r="R11" s="10"/>
      <c r="S11" s="13"/>
    </row>
    <row r="12" spans="1:23" x14ac:dyDescent="0.25">
      <c r="A12" s="6">
        <v>22</v>
      </c>
      <c r="B12" s="10">
        <v>400.56279999999998</v>
      </c>
      <c r="C12" s="6">
        <v>0</v>
      </c>
      <c r="D12" s="10">
        <v>0</v>
      </c>
      <c r="E12" s="10">
        <f t="shared" si="1"/>
        <v>-400.56279999999998</v>
      </c>
      <c r="F12" s="10">
        <f t="shared" si="4"/>
        <v>90.412297441113736</v>
      </c>
      <c r="G12" s="10">
        <f t="shared" si="0"/>
        <v>0</v>
      </c>
      <c r="H12" s="10">
        <f>G12-F12</f>
        <v>-90.412297441113736</v>
      </c>
      <c r="I12" s="10"/>
      <c r="K12" s="10">
        <f t="shared" si="3"/>
        <v>-90.412297441113736</v>
      </c>
      <c r="L12" s="10"/>
      <c r="M12" s="10"/>
      <c r="N12" s="10"/>
      <c r="O12" s="10"/>
      <c r="P12" s="10"/>
      <c r="Q12" s="10"/>
      <c r="R12" s="10"/>
      <c r="S12" s="13"/>
    </row>
    <row r="13" spans="1:23" x14ac:dyDescent="0.25">
      <c r="A13" s="6" t="s">
        <v>103</v>
      </c>
      <c r="B13" s="10" t="s">
        <v>96</v>
      </c>
      <c r="C13" s="6" t="s">
        <v>97</v>
      </c>
      <c r="D13" s="10" t="s">
        <v>98</v>
      </c>
      <c r="E13" s="10" t="s">
        <v>99</v>
      </c>
      <c r="F13" s="10" t="s">
        <v>100</v>
      </c>
      <c r="G13" s="10" t="s">
        <v>101</v>
      </c>
      <c r="H13" s="10" t="s">
        <v>102</v>
      </c>
      <c r="I13" s="10" t="s">
        <v>83</v>
      </c>
      <c r="K13" s="10"/>
      <c r="L13" s="10"/>
      <c r="M13" s="10"/>
      <c r="N13" s="10"/>
      <c r="O13" s="10"/>
      <c r="P13" s="10"/>
      <c r="Q13" s="10"/>
      <c r="R13" s="10"/>
    </row>
    <row r="14" spans="1:23" x14ac:dyDescent="0.25">
      <c r="B14" s="10">
        <f t="shared" ref="B14:H14" si="6">SUM(B5:B12)</f>
        <v>4670.7839999999997</v>
      </c>
      <c r="C14" s="10">
        <f t="shared" si="6"/>
        <v>9135.9249999999993</v>
      </c>
      <c r="D14" s="10">
        <f t="shared" si="6"/>
        <v>12551.280000000002</v>
      </c>
      <c r="E14" s="10">
        <f t="shared" si="6"/>
        <v>-1255.4289999999974</v>
      </c>
      <c r="F14" s="10">
        <f t="shared" si="6"/>
        <v>7645.8969336308219</v>
      </c>
      <c r="G14" s="10">
        <f t="shared" si="6"/>
        <v>5597.8002091704921</v>
      </c>
      <c r="H14" s="10">
        <f t="shared" si="6"/>
        <v>-2048.0967244603303</v>
      </c>
      <c r="I14" s="10">
        <f>H14/(1-(1/(1+$B$1))^(A12))</f>
        <v>-2645.1395430671473</v>
      </c>
      <c r="K14" s="10">
        <f>SUM(K5:K12)</f>
        <v>-2048.0967244603294</v>
      </c>
      <c r="L14" s="10"/>
      <c r="M14" s="10"/>
      <c r="N14" s="10"/>
      <c r="O14" s="10"/>
      <c r="P14" s="10"/>
      <c r="Q14" s="10"/>
      <c r="R14" s="10"/>
    </row>
    <row r="15" spans="1:23" x14ac:dyDescent="0.25">
      <c r="B15" s="10" t="s">
        <v>104</v>
      </c>
      <c r="C15" s="10">
        <v>1397.5694928126527</v>
      </c>
      <c r="D15" s="10"/>
      <c r="E15" s="10"/>
      <c r="F15" s="10"/>
      <c r="G15" s="10"/>
      <c r="H15" s="10"/>
      <c r="K15" s="10"/>
      <c r="L15" s="10"/>
      <c r="M15" s="10"/>
      <c r="N15" s="10"/>
      <c r="O15" s="10"/>
      <c r="P15" s="10"/>
      <c r="Q15" s="10"/>
      <c r="R15" s="10"/>
    </row>
    <row r="16" spans="1:23" x14ac:dyDescent="0.25">
      <c r="B16" s="10"/>
      <c r="C16" s="10"/>
      <c r="D16" s="10"/>
      <c r="E16" s="10"/>
      <c r="F16" s="10"/>
      <c r="G16" s="10"/>
      <c r="H16" s="10"/>
      <c r="K16" s="10"/>
      <c r="L16" s="10"/>
      <c r="M16" s="10"/>
      <c r="N16" s="10"/>
      <c r="O16" s="10"/>
      <c r="P16" s="10"/>
      <c r="Q16" s="10"/>
      <c r="R16" s="10"/>
    </row>
    <row r="17" spans="1:18" x14ac:dyDescent="0.25">
      <c r="B17" s="10"/>
      <c r="C17" s="10"/>
      <c r="D17" s="10"/>
      <c r="E17" s="10"/>
      <c r="F17" s="10"/>
      <c r="G17" s="10"/>
      <c r="H17" s="10"/>
      <c r="K17" s="10"/>
      <c r="L17" s="10"/>
      <c r="M17" s="10"/>
      <c r="N17" s="10"/>
      <c r="O17" s="10"/>
      <c r="P17" s="10"/>
      <c r="Q17" s="10"/>
      <c r="R17" s="10"/>
    </row>
    <row r="18" spans="1:18" x14ac:dyDescent="0.25">
      <c r="A18" s="6" t="s">
        <v>105</v>
      </c>
      <c r="B18" s="10"/>
      <c r="C18" s="10"/>
      <c r="D18" s="10"/>
      <c r="E18" s="10"/>
      <c r="F18" s="10"/>
      <c r="G18" s="10"/>
      <c r="H18" s="10"/>
      <c r="K18" s="10"/>
      <c r="L18" s="10"/>
      <c r="M18" s="10"/>
      <c r="N18" s="10"/>
      <c r="O18" s="10"/>
      <c r="P18" s="10"/>
      <c r="Q18" s="10"/>
      <c r="R18" s="10"/>
    </row>
    <row r="19" spans="1:18" x14ac:dyDescent="0.25">
      <c r="A19" s="6" t="s">
        <v>78</v>
      </c>
      <c r="B19" s="10" t="s">
        <v>96</v>
      </c>
      <c r="C19" s="6" t="s">
        <v>97</v>
      </c>
      <c r="D19" s="10" t="s">
        <v>98</v>
      </c>
      <c r="E19" s="10" t="s">
        <v>99</v>
      </c>
      <c r="F19" s="10" t="s">
        <v>100</v>
      </c>
      <c r="G19" s="10" t="s">
        <v>101</v>
      </c>
      <c r="H19" s="10" t="s">
        <v>102</v>
      </c>
      <c r="I19" s="10"/>
      <c r="K19" s="10"/>
      <c r="L19" s="10"/>
      <c r="M19" s="10"/>
      <c r="N19" s="10"/>
      <c r="O19" s="10"/>
      <c r="P19" s="10"/>
      <c r="Q19" s="10"/>
      <c r="R19" s="10"/>
    </row>
    <row r="20" spans="1:18" x14ac:dyDescent="0.25">
      <c r="A20" s="6">
        <v>0</v>
      </c>
      <c r="B20" s="10">
        <v>2707.34</v>
      </c>
      <c r="C20" s="6">
        <v>0</v>
      </c>
      <c r="D20" s="10">
        <v>0</v>
      </c>
      <c r="E20" s="10">
        <f>D20-B20-C20</f>
        <v>-2707.34</v>
      </c>
      <c r="F20" s="10">
        <f>B20/(1+$B$1)^$A20+C20/(1+$B$1)^$A20</f>
        <v>2707.34</v>
      </c>
      <c r="G20" s="10">
        <f t="shared" ref="G20:G27" si="7">D20/(1+$B$1)^$A20</f>
        <v>0</v>
      </c>
      <c r="H20" s="10">
        <f>G20-F20</f>
        <v>-2707.34</v>
      </c>
      <c r="I20" s="10"/>
      <c r="K20" s="10">
        <f>E20/(1+$B$1)^(A20)</f>
        <v>-2707.34</v>
      </c>
      <c r="L20" s="10"/>
      <c r="M20" s="10"/>
      <c r="N20" s="10"/>
      <c r="O20" s="10"/>
      <c r="P20" s="10"/>
      <c r="Q20" s="10"/>
      <c r="R20" s="10"/>
    </row>
    <row r="21" spans="1:18" x14ac:dyDescent="0.25">
      <c r="A21" s="6">
        <v>1</v>
      </c>
      <c r="B21" s="10">
        <v>320.15999999999997</v>
      </c>
      <c r="C21" s="6">
        <v>0</v>
      </c>
      <c r="D21" s="10">
        <v>0</v>
      </c>
      <c r="E21" s="10">
        <f t="shared" ref="E21:E27" si="8">D21-B21-C21</f>
        <v>-320.15999999999997</v>
      </c>
      <c r="F21" s="10">
        <f t="shared" ref="F21:F27" si="9">B21/(1+$B$1)^$A21+C21/(1+$B$1)^$A21</f>
        <v>299.21495327102798</v>
      </c>
      <c r="G21" s="10">
        <f t="shared" si="7"/>
        <v>0</v>
      </c>
      <c r="H21" s="10">
        <f>G21-F21</f>
        <v>-299.21495327102798</v>
      </c>
      <c r="I21" s="10"/>
      <c r="K21" s="10">
        <f t="shared" ref="K21:K27" si="10">E21/(1+$B$1)^(A21)</f>
        <v>-299.21495327102798</v>
      </c>
      <c r="L21" s="10"/>
      <c r="M21" s="10"/>
      <c r="N21" s="10"/>
      <c r="O21" s="10"/>
      <c r="P21" s="10"/>
      <c r="Q21" s="10"/>
      <c r="R21" s="10"/>
    </row>
    <row r="22" spans="1:18" x14ac:dyDescent="0.25">
      <c r="A22" s="6">
        <v>5</v>
      </c>
      <c r="B22" s="6">
        <v>441.2</v>
      </c>
      <c r="C22" s="6">
        <f>750.215+224.759*Laskuri!$B$13-1.873*Laskuri!$B$13^2</f>
        <v>1827.1849999999997</v>
      </c>
      <c r="D22" s="10">
        <f>Työkaluvälilehti!$B$10*(A22-A21)*Työkaluvälilehti!$B$2</f>
        <v>2510.2560000000003</v>
      </c>
      <c r="E22" s="10">
        <f>D22-B22-C22</f>
        <v>241.87100000000078</v>
      </c>
      <c r="F22" s="10">
        <f>B22/(1+$B$1)^$A22+C22/(1+$B$1)^$A22</f>
        <v>1617.3271547480608</v>
      </c>
      <c r="G22" s="10">
        <f t="shared" si="7"/>
        <v>1789.7778349659557</v>
      </c>
      <c r="H22" s="10">
        <f t="shared" ref="H22:H26" si="11">G22-F22</f>
        <v>172.45068021789484</v>
      </c>
      <c r="I22" s="10"/>
      <c r="K22" s="10">
        <f t="shared" si="10"/>
        <v>172.4506802178949</v>
      </c>
      <c r="L22" s="10"/>
      <c r="M22" s="10"/>
      <c r="N22" s="10"/>
      <c r="O22" s="10"/>
      <c r="P22" s="10"/>
      <c r="Q22" s="10"/>
      <c r="R22" s="10"/>
    </row>
    <row r="23" spans="1:18" x14ac:dyDescent="0.25">
      <c r="A23" s="6">
        <v>9</v>
      </c>
      <c r="B23" s="6">
        <v>441.2</v>
      </c>
      <c r="C23" s="6">
        <f>750.215+224.759*Laskuri!$B$13-1.873*Laskuri!$B$13^2</f>
        <v>1827.1849999999997</v>
      </c>
      <c r="D23" s="10">
        <f>Työkaluvälilehti!$B$10*(A23-A22)*Työkaluvälilehti!$B$2</f>
        <v>2510.2560000000003</v>
      </c>
      <c r="E23" s="10">
        <f>D23-B23-C23</f>
        <v>241.87100000000078</v>
      </c>
      <c r="F23" s="10">
        <f>B23/(1+$B$1)^$A23+C23/(1+$B$1)^$A23</f>
        <v>1233.8511426717425</v>
      </c>
      <c r="G23" s="10">
        <f t="shared" si="7"/>
        <v>1365.4129409243133</v>
      </c>
      <c r="H23" s="10">
        <f t="shared" si="11"/>
        <v>131.56179825257072</v>
      </c>
      <c r="I23" s="10"/>
      <c r="K23" s="10">
        <f t="shared" si="10"/>
        <v>131.5617982525709</v>
      </c>
      <c r="L23" s="10"/>
      <c r="M23" s="10"/>
      <c r="N23" s="10"/>
      <c r="O23" s="10"/>
      <c r="P23" s="10"/>
      <c r="Q23" s="10"/>
      <c r="R23" s="10"/>
    </row>
    <row r="24" spans="1:18" x14ac:dyDescent="0.25">
      <c r="A24" s="6">
        <v>13</v>
      </c>
      <c r="B24" s="6">
        <v>441.2</v>
      </c>
      <c r="C24" s="6">
        <f>750.215+224.759*Laskuri!$B$13-1.873*Laskuri!$B$13^2</f>
        <v>1827.1849999999997</v>
      </c>
      <c r="D24" s="10">
        <f>Työkaluvälilehti!$B$10*(A24-A23)*Työkaluvälilehti!$B$2</f>
        <v>2510.2560000000003</v>
      </c>
      <c r="E24" s="10">
        <f>D24-B24-C24</f>
        <v>241.87100000000078</v>
      </c>
      <c r="F24" s="10">
        <f>B24/(1+$B$1)^$A24+C24/(1+$B$1)^$A24</f>
        <v>941.29912912364034</v>
      </c>
      <c r="G24" s="10">
        <f t="shared" si="7"/>
        <v>1041.6669950988889</v>
      </c>
      <c r="H24" s="10">
        <f t="shared" si="11"/>
        <v>100.36786597524861</v>
      </c>
      <c r="I24" s="10"/>
      <c r="K24" s="10">
        <f t="shared" si="10"/>
        <v>100.3678659752488</v>
      </c>
      <c r="L24" s="10"/>
      <c r="M24" s="10"/>
      <c r="N24" s="10"/>
      <c r="O24" s="10"/>
      <c r="P24" s="10"/>
      <c r="Q24" s="10"/>
      <c r="R24" s="10"/>
    </row>
    <row r="25" spans="1:18" x14ac:dyDescent="0.25">
      <c r="A25" s="6">
        <v>17</v>
      </c>
      <c r="B25" s="6">
        <v>441.2</v>
      </c>
      <c r="C25" s="6">
        <f>750.215+224.759*Laskuri!$B$13-1.873*Laskuri!$B$13^2</f>
        <v>1827.1849999999997</v>
      </c>
      <c r="D25" s="10">
        <f>Työkaluvälilehti!$B$10*(A25-A24)*Työkaluvälilehti!$B$2</f>
        <v>2510.2560000000003</v>
      </c>
      <c r="E25" s="10">
        <f t="shared" si="8"/>
        <v>241.87100000000078</v>
      </c>
      <c r="F25" s="10">
        <f t="shared" si="9"/>
        <v>718.11259871293043</v>
      </c>
      <c r="G25" s="10">
        <f t="shared" si="7"/>
        <v>794.68276310887541</v>
      </c>
      <c r="H25" s="10">
        <f t="shared" si="11"/>
        <v>76.570164395944971</v>
      </c>
      <c r="I25" s="10"/>
      <c r="K25" s="10">
        <f t="shared" si="10"/>
        <v>76.570164395945028</v>
      </c>
      <c r="L25" s="10"/>
      <c r="M25" s="10"/>
      <c r="N25" s="10"/>
      <c r="O25" s="10"/>
      <c r="P25" s="10"/>
      <c r="Q25" s="10"/>
      <c r="R25" s="10"/>
    </row>
    <row r="26" spans="1:18" x14ac:dyDescent="0.25">
      <c r="A26" s="6">
        <v>21</v>
      </c>
      <c r="B26" s="10">
        <v>59</v>
      </c>
      <c r="C26" s="6">
        <f>750.215+224.759*Laskuri!$B$13-1.873*Laskuri!$B$13^2</f>
        <v>1827.1849999999997</v>
      </c>
      <c r="D26" s="10">
        <f>Työkaluvälilehti!$B$10*(A26-A25)*Työkaluvälilehti!$B$2</f>
        <v>2510.2560000000003</v>
      </c>
      <c r="E26" s="10">
        <f t="shared" si="8"/>
        <v>624.07100000000059</v>
      </c>
      <c r="F26" s="10">
        <f t="shared" si="9"/>
        <v>455.53836151633351</v>
      </c>
      <c r="G26" s="10">
        <f t="shared" si="7"/>
        <v>606.25967507245866</v>
      </c>
      <c r="H26" s="10">
        <f t="shared" si="11"/>
        <v>150.72131355612515</v>
      </c>
      <c r="I26" s="10"/>
      <c r="K26" s="10">
        <f t="shared" si="10"/>
        <v>150.72131355612524</v>
      </c>
      <c r="L26" s="10"/>
      <c r="M26" s="10"/>
      <c r="N26" s="10"/>
      <c r="O26" s="10"/>
      <c r="P26" s="10"/>
      <c r="Q26" s="10"/>
      <c r="R26" s="10"/>
    </row>
    <row r="27" spans="1:18" x14ac:dyDescent="0.25">
      <c r="A27" s="6">
        <v>22</v>
      </c>
      <c r="B27" s="10">
        <v>400.56279999999998</v>
      </c>
      <c r="C27" s="6">
        <v>0</v>
      </c>
      <c r="D27" s="10">
        <v>0</v>
      </c>
      <c r="E27" s="10">
        <f t="shared" si="8"/>
        <v>-400.56279999999998</v>
      </c>
      <c r="F27" s="10">
        <f t="shared" si="9"/>
        <v>90.412297441113736</v>
      </c>
      <c r="G27" s="10">
        <f t="shared" si="7"/>
        <v>0</v>
      </c>
      <c r="H27" s="10">
        <f>G27-F27</f>
        <v>-90.412297441113736</v>
      </c>
      <c r="I27" s="10"/>
      <c r="K27" s="10">
        <f t="shared" si="10"/>
        <v>-90.412297441113736</v>
      </c>
      <c r="L27" s="10"/>
      <c r="M27" s="10"/>
      <c r="N27" s="10"/>
      <c r="O27" s="10"/>
      <c r="P27" s="10"/>
      <c r="Q27" s="10"/>
      <c r="R27" s="10"/>
    </row>
    <row r="28" spans="1:18" x14ac:dyDescent="0.25">
      <c r="A28" s="6" t="s">
        <v>103</v>
      </c>
      <c r="B28" s="10" t="s">
        <v>96</v>
      </c>
      <c r="C28" s="6" t="s">
        <v>97</v>
      </c>
      <c r="D28" s="10" t="s">
        <v>98</v>
      </c>
      <c r="E28" s="10" t="s">
        <v>99</v>
      </c>
      <c r="F28" s="10" t="s">
        <v>100</v>
      </c>
      <c r="G28" s="10" t="s">
        <v>101</v>
      </c>
      <c r="H28" s="10" t="s">
        <v>102</v>
      </c>
      <c r="I28" s="10" t="s">
        <v>83</v>
      </c>
      <c r="K28" s="10"/>
      <c r="L28" s="10"/>
      <c r="M28" s="10"/>
      <c r="N28" s="10"/>
      <c r="O28" s="10"/>
      <c r="P28" s="10"/>
      <c r="Q28" s="10"/>
      <c r="R28" s="10"/>
    </row>
    <row r="29" spans="1:18" x14ac:dyDescent="0.25">
      <c r="B29" s="10">
        <f>SUM(B20:B27)</f>
        <v>5251.862799999999</v>
      </c>
      <c r="C29" s="10">
        <f>SUM(C20:C27)</f>
        <v>9135.9249999999993</v>
      </c>
      <c r="D29" s="10">
        <f>SUM(D20:D27)</f>
        <v>12551.280000000002</v>
      </c>
      <c r="E29" s="10">
        <f t="shared" ref="E29" si="12">SUM(E20:E27)</f>
        <v>-1836.5077999999953</v>
      </c>
      <c r="F29" s="10">
        <f>SUM(F20:F27)</f>
        <v>8063.0956374848502</v>
      </c>
      <c r="G29" s="10">
        <f t="shared" ref="G29" si="13">SUM(G20:G27)</f>
        <v>5597.8002091704921</v>
      </c>
      <c r="H29" s="10">
        <f>SUM(H20:H27)</f>
        <v>-2465.2954283143577</v>
      </c>
      <c r="I29" s="10">
        <f>H29/(1-(1/(1+$B$1))^(A27))</f>
        <v>-3183.956277502105</v>
      </c>
      <c r="K29" s="10">
        <f>SUM(K20:K27)</f>
        <v>-2465.2954283143577</v>
      </c>
      <c r="L29" s="10"/>
      <c r="M29" s="10"/>
      <c r="N29" s="10"/>
      <c r="O29" s="10"/>
      <c r="P29" s="10"/>
      <c r="Q29" s="10"/>
      <c r="R29" s="10"/>
    </row>
    <row r="30" spans="1:18" x14ac:dyDescent="0.25">
      <c r="B30" s="10" t="s">
        <v>104</v>
      </c>
      <c r="C30" s="10">
        <v>1436.0586439748142</v>
      </c>
      <c r="D30" s="10"/>
      <c r="E30" s="10"/>
      <c r="F30" s="10"/>
      <c r="G30" s="10"/>
      <c r="H30" s="10"/>
      <c r="L30" s="10"/>
      <c r="M30" s="10"/>
      <c r="N30" s="10"/>
      <c r="O30" s="10"/>
      <c r="P30" s="10"/>
      <c r="Q30" s="10"/>
      <c r="R30" s="10"/>
    </row>
    <row r="31" spans="1:18" x14ac:dyDescent="0.25">
      <c r="A31" s="6" t="s">
        <v>106</v>
      </c>
      <c r="B31" s="10"/>
      <c r="C31" s="10"/>
      <c r="D31" s="10"/>
      <c r="E31" s="10"/>
      <c r="F31" s="10"/>
      <c r="G31" s="10"/>
      <c r="H31" s="10"/>
      <c r="L31" s="10"/>
      <c r="M31" s="10"/>
      <c r="N31" s="10"/>
      <c r="O31" s="10"/>
      <c r="P31" s="10"/>
      <c r="Q31" s="10"/>
      <c r="R31" s="10"/>
    </row>
    <row r="32" spans="1:18" x14ac:dyDescent="0.25">
      <c r="A32" s="6" t="s">
        <v>78</v>
      </c>
      <c r="B32" s="10" t="s">
        <v>107</v>
      </c>
      <c r="C32" s="10" t="s">
        <v>98</v>
      </c>
      <c r="D32" s="10" t="s">
        <v>99</v>
      </c>
      <c r="E32" s="10" t="s">
        <v>100</v>
      </c>
      <c r="F32" s="10" t="s">
        <v>101</v>
      </c>
      <c r="G32" s="10" t="s">
        <v>102</v>
      </c>
      <c r="H32" s="10"/>
      <c r="L32" s="10"/>
      <c r="M32" s="10"/>
      <c r="N32" s="10"/>
      <c r="O32" s="10"/>
      <c r="P32" s="10"/>
      <c r="Q32" s="10"/>
      <c r="R32" s="10"/>
    </row>
    <row r="33" spans="1:18" x14ac:dyDescent="0.25">
      <c r="A33" s="6">
        <v>0</v>
      </c>
      <c r="B33" s="10">
        <v>370</v>
      </c>
      <c r="C33" s="10">
        <v>0</v>
      </c>
      <c r="D33" s="10">
        <f>C33-B33</f>
        <v>-370</v>
      </c>
      <c r="E33" s="10">
        <f>B33/(1+$B$1)^$A33</f>
        <v>370</v>
      </c>
      <c r="F33" s="10">
        <f>C33/(1+$B$1)^$A33</f>
        <v>0</v>
      </c>
      <c r="G33" s="10">
        <f>F33-E33</f>
        <v>-370</v>
      </c>
      <c r="H33" s="10"/>
      <c r="L33" s="10"/>
      <c r="M33" s="10"/>
      <c r="N33" s="10"/>
      <c r="O33" s="10"/>
      <c r="P33" s="10"/>
      <c r="Q33" s="10"/>
      <c r="R33" s="10"/>
    </row>
    <row r="34" spans="1:18" x14ac:dyDescent="0.25">
      <c r="A34" s="6">
        <v>22</v>
      </c>
      <c r="B34" s="10">
        <v>4633.3675838602585</v>
      </c>
      <c r="C34" s="10" t="e">
        <f>Työkaluvälilehti!$B$2*('7 % korko'!A34-'7 % korko'!A33)*Työkaluvälilehti!$B$11</f>
        <v>#REF!</v>
      </c>
      <c r="D34" s="10" t="e">
        <f t="shared" ref="D34:D36" si="14">C34-B34</f>
        <v>#REF!</v>
      </c>
      <c r="E34" s="10">
        <f>B34/(1+$B$1)^$A34</f>
        <v>1045.8120627926212</v>
      </c>
      <c r="F34" s="10" t="e">
        <f>C34/(1+$B$1)^$A34</f>
        <v>#REF!</v>
      </c>
      <c r="G34" s="10" t="e">
        <f>F34-E34</f>
        <v>#REF!</v>
      </c>
      <c r="H34" s="10"/>
      <c r="L34" s="10"/>
      <c r="M34" s="10"/>
      <c r="N34" s="10"/>
      <c r="O34" s="10"/>
      <c r="P34" s="10"/>
      <c r="Q34" s="10"/>
      <c r="R34" s="10"/>
    </row>
    <row r="35" spans="1:18" x14ac:dyDescent="0.25">
      <c r="A35" s="6">
        <v>43</v>
      </c>
      <c r="B35" s="10">
        <v>4633.3675838602585</v>
      </c>
      <c r="C35" s="10" t="e">
        <f>Työkaluvälilehti!$B$2*('7 % korko'!A35-'7 % korko'!A34)*Työkaluvälilehti!$B$11</f>
        <v>#REF!</v>
      </c>
      <c r="D35" s="10" t="e">
        <f t="shared" si="14"/>
        <v>#REF!</v>
      </c>
      <c r="E35" s="10">
        <f t="shared" ref="E35:E36" si="15">B35/(1+$B$1)^$A35</f>
        <v>252.57729943699456</v>
      </c>
      <c r="F35" s="10" t="e">
        <f t="shared" ref="F35:F36" si="16">C35/(1+$B$1)^$A35</f>
        <v>#REF!</v>
      </c>
      <c r="G35" s="10" t="e">
        <f t="shared" ref="G35:G36" si="17">F35-E35</f>
        <v>#REF!</v>
      </c>
      <c r="H35" s="10"/>
      <c r="L35" s="10"/>
      <c r="M35" s="10"/>
      <c r="N35" s="10"/>
      <c r="O35" s="10"/>
      <c r="P35" s="10"/>
      <c r="Q35" s="10"/>
      <c r="R35" s="10"/>
    </row>
    <row r="36" spans="1:18" x14ac:dyDescent="0.25">
      <c r="A36" s="6">
        <v>64</v>
      </c>
      <c r="B36" s="10">
        <v>5114.3867476233245</v>
      </c>
      <c r="C36" s="10" t="e">
        <f>Työkaluvälilehti!$B$2*('7 % korko'!A36-'7 % korko'!A35)*Työkaluvälilehti!$B$11</f>
        <v>#REF!</v>
      </c>
      <c r="D36" s="10" t="e">
        <f t="shared" si="14"/>
        <v>#REF!</v>
      </c>
      <c r="E36" s="10">
        <f t="shared" si="15"/>
        <v>67.333593725504457</v>
      </c>
      <c r="F36" s="10" t="e">
        <f t="shared" si="16"/>
        <v>#REF!</v>
      </c>
      <c r="G36" s="10" t="e">
        <f t="shared" si="17"/>
        <v>#REF!</v>
      </c>
      <c r="H36" s="10"/>
      <c r="L36" s="10"/>
      <c r="M36" s="10"/>
      <c r="N36" s="10"/>
      <c r="O36" s="10"/>
      <c r="P36" s="10"/>
      <c r="Q36" s="10"/>
      <c r="R36" s="10"/>
    </row>
    <row r="37" spans="1:18" x14ac:dyDescent="0.25">
      <c r="A37" s="6">
        <v>86</v>
      </c>
      <c r="B37" s="10">
        <v>4633.3675838602585</v>
      </c>
      <c r="C37" s="10" t="e">
        <f>Työkaluvälilehti!$B$2*('7 % korko'!A37-'7 % korko'!A36)*Työkaluvälilehti!$B$11</f>
        <v>#REF!</v>
      </c>
      <c r="D37" s="10" t="e">
        <f>C37-B37</f>
        <v>#REF!</v>
      </c>
      <c r="E37" s="10">
        <f>B37/(1+$B$1)^$A37</f>
        <v>13.768666318016283</v>
      </c>
      <c r="F37" s="10" t="e">
        <f>C37/(1+$B$1)^$A37</f>
        <v>#REF!</v>
      </c>
      <c r="G37" s="10" t="e">
        <f>F37-E37</f>
        <v>#REF!</v>
      </c>
      <c r="H37" s="10"/>
      <c r="L37" s="10"/>
      <c r="M37" s="10"/>
      <c r="N37" s="10"/>
      <c r="O37" s="10"/>
      <c r="P37" s="10"/>
      <c r="Q37" s="10"/>
      <c r="R37" s="10"/>
    </row>
    <row r="38" spans="1:18" x14ac:dyDescent="0.25">
      <c r="A38" s="6" t="s">
        <v>103</v>
      </c>
      <c r="B38" s="10" t="s">
        <v>107</v>
      </c>
      <c r="C38" s="10" t="s">
        <v>98</v>
      </c>
      <c r="D38" s="10" t="s">
        <v>99</v>
      </c>
      <c r="E38" s="10" t="s">
        <v>100</v>
      </c>
      <c r="F38" s="10" t="s">
        <v>101</v>
      </c>
      <c r="G38" s="10" t="s">
        <v>102</v>
      </c>
      <c r="H38" s="10" t="s">
        <v>83</v>
      </c>
      <c r="L38" s="10"/>
      <c r="M38" s="10"/>
      <c r="N38" s="10"/>
      <c r="O38" s="10"/>
      <c r="P38" s="10"/>
      <c r="Q38" s="10"/>
      <c r="R38" s="10"/>
    </row>
    <row r="39" spans="1:18" x14ac:dyDescent="0.25">
      <c r="B39" s="10">
        <f t="shared" ref="B39:G39" si="18">SUM(B33:B37)</f>
        <v>19384.489499204101</v>
      </c>
      <c r="C39" s="10" t="e">
        <f t="shared" si="18"/>
        <v>#REF!</v>
      </c>
      <c r="D39" s="10" t="e">
        <f t="shared" si="18"/>
        <v>#REF!</v>
      </c>
      <c r="E39" s="10">
        <f t="shared" si="18"/>
        <v>1749.4916222731365</v>
      </c>
      <c r="F39" s="10" t="e">
        <f t="shared" si="18"/>
        <v>#REF!</v>
      </c>
      <c r="G39" s="10" t="e">
        <f t="shared" si="18"/>
        <v>#REF!</v>
      </c>
      <c r="H39" s="10" t="e">
        <f>G33+G34+G35+G36+G37/(1-EXP(-$B$1*A37))</f>
        <v>#REF!</v>
      </c>
      <c r="L39" s="10"/>
      <c r="M39" s="10"/>
      <c r="N39" s="10"/>
      <c r="O39" s="10"/>
      <c r="P39" s="10"/>
      <c r="Q39" s="10"/>
      <c r="R39" s="10"/>
    </row>
    <row r="40" spans="1:18" x14ac:dyDescent="0.25">
      <c r="B40" s="10"/>
      <c r="C40" s="10"/>
      <c r="D40" s="10"/>
      <c r="E40" s="10"/>
      <c r="F40" s="10"/>
      <c r="G40" s="10"/>
      <c r="H40" s="10"/>
      <c r="L40" s="10"/>
      <c r="M40" s="10"/>
      <c r="N40" s="10"/>
      <c r="O40" s="10"/>
      <c r="P40" s="10"/>
      <c r="Q40" s="10"/>
      <c r="R40" s="10"/>
    </row>
    <row r="41" spans="1:18" x14ac:dyDescent="0.25">
      <c r="B41" s="10"/>
      <c r="C41" s="10"/>
      <c r="D41" s="10"/>
      <c r="E41" s="10"/>
      <c r="F41" s="10"/>
      <c r="G41" s="10"/>
      <c r="H41" s="10"/>
      <c r="L41" s="10"/>
      <c r="M41" s="10"/>
      <c r="N41" s="10"/>
      <c r="O41" s="10"/>
      <c r="P41" s="10"/>
      <c r="Q41" s="10"/>
      <c r="R41" s="10"/>
    </row>
    <row r="42" spans="1:18" x14ac:dyDescent="0.25">
      <c r="B42" s="10" t="s">
        <v>104</v>
      </c>
      <c r="C42" s="10">
        <v>2803.0909820774596</v>
      </c>
      <c r="D42" s="10"/>
      <c r="E42" s="10"/>
      <c r="F42" s="10"/>
      <c r="G42" s="10"/>
      <c r="H42" s="10"/>
      <c r="L42" s="10"/>
      <c r="M42" s="10"/>
      <c r="N42" s="10"/>
      <c r="O42" s="10"/>
      <c r="P42" s="10"/>
      <c r="Q42" s="10"/>
      <c r="R42" s="10"/>
    </row>
    <row r="43" spans="1:18" x14ac:dyDescent="0.25">
      <c r="A43" s="1" t="s">
        <v>126</v>
      </c>
      <c r="B43" s="10"/>
      <c r="C43" s="10"/>
      <c r="D43" s="10"/>
      <c r="E43" s="10"/>
      <c r="F43" s="10"/>
      <c r="G43" s="10"/>
      <c r="H43" s="10"/>
      <c r="L43" s="10"/>
      <c r="M43" s="10"/>
      <c r="N43" s="10"/>
      <c r="O43" s="10"/>
      <c r="P43" s="10"/>
      <c r="Q43" s="10"/>
      <c r="R43" s="10"/>
    </row>
    <row r="44" spans="1:18" x14ac:dyDescent="0.25">
      <c r="A44" s="6" t="s">
        <v>78</v>
      </c>
      <c r="B44" s="10" t="s">
        <v>107</v>
      </c>
      <c r="C44" s="10" t="s">
        <v>98</v>
      </c>
      <c r="D44" s="10" t="s">
        <v>99</v>
      </c>
      <c r="E44" s="10" t="s">
        <v>100</v>
      </c>
      <c r="F44" s="10" t="s">
        <v>101</v>
      </c>
      <c r="G44" s="10" t="s">
        <v>102</v>
      </c>
      <c r="H44" s="10"/>
      <c r="L44" s="10"/>
      <c r="M44" s="10"/>
      <c r="N44" s="10"/>
      <c r="O44" s="10"/>
      <c r="P44" s="10"/>
      <c r="Q44" s="10"/>
      <c r="R44" s="10"/>
    </row>
    <row r="45" spans="1:18" x14ac:dyDescent="0.25">
      <c r="A45" s="6">
        <v>0</v>
      </c>
      <c r="B45" s="10">
        <v>1241.0517070707067</v>
      </c>
      <c r="C45" s="10">
        <v>0</v>
      </c>
      <c r="D45" s="10">
        <f>C45-B45</f>
        <v>-1241.0517070707067</v>
      </c>
      <c r="E45" s="10">
        <f>B45/(1+$B$1)^$A45</f>
        <v>1241.0517070707067</v>
      </c>
      <c r="F45" s="10">
        <f>C45/(1+$B$1)^$A45</f>
        <v>0</v>
      </c>
      <c r="G45" s="10">
        <f>F45-E45</f>
        <v>-1241.0517070707067</v>
      </c>
      <c r="H45" s="10"/>
      <c r="L45" s="10"/>
      <c r="M45" s="10"/>
      <c r="N45" s="10"/>
      <c r="O45" s="10"/>
      <c r="P45" s="10"/>
      <c r="Q45" s="10"/>
      <c r="R45" s="10"/>
    </row>
    <row r="46" spans="1:18" x14ac:dyDescent="0.25">
      <c r="A46" s="6">
        <v>1</v>
      </c>
      <c r="B46" s="10">
        <v>88.968222222222209</v>
      </c>
      <c r="C46" s="10">
        <v>0</v>
      </c>
      <c r="D46" s="10">
        <f t="shared" ref="D46:D48" si="19">C46-B46</f>
        <v>-88.968222222222209</v>
      </c>
      <c r="E46" s="10">
        <f>B46/(1+$B$1)^$A46</f>
        <v>83.147871235721681</v>
      </c>
      <c r="F46" s="10">
        <f t="shared" ref="F46:F48" si="20">C46/(1+$B$1)^$A46</f>
        <v>0</v>
      </c>
      <c r="G46" s="10">
        <f>F46-E46</f>
        <v>-83.147871235721681</v>
      </c>
      <c r="H46" s="10"/>
      <c r="L46" s="10"/>
      <c r="M46" s="10"/>
      <c r="N46" s="10"/>
      <c r="O46" s="10"/>
      <c r="P46" s="10"/>
      <c r="Q46" s="10"/>
      <c r="R46" s="10"/>
    </row>
    <row r="47" spans="1:18" x14ac:dyDescent="0.25">
      <c r="A47" s="6">
        <v>2</v>
      </c>
      <c r="B47" s="10">
        <v>742.82444444444434</v>
      </c>
      <c r="C47" s="10">
        <f>Työkaluvälilehti!$B$12*(A47-A46)*Työkaluvälilehti!$B$7</f>
        <v>1236</v>
      </c>
      <c r="D47" s="10">
        <f t="shared" si="19"/>
        <v>493.17555555555566</v>
      </c>
      <c r="E47" s="10">
        <f t="shared" ref="E47:E48" si="21">B47/(1+$B$1)^$A47</f>
        <v>648.81163808581039</v>
      </c>
      <c r="F47" s="10">
        <f t="shared" si="20"/>
        <v>1079.5702681456896</v>
      </c>
      <c r="G47" s="10">
        <f t="shared" ref="G47:G48" si="22">F47-E47</f>
        <v>430.75863005987924</v>
      </c>
      <c r="H47" s="10"/>
      <c r="L47" s="10"/>
      <c r="M47" s="10"/>
      <c r="N47" s="10"/>
      <c r="O47" s="10"/>
      <c r="P47" s="10"/>
      <c r="Q47" s="10"/>
      <c r="R47" s="10"/>
    </row>
    <row r="48" spans="1:18" x14ac:dyDescent="0.25">
      <c r="A48" s="6">
        <v>3</v>
      </c>
      <c r="B48" s="10">
        <v>742.82444444444434</v>
      </c>
      <c r="C48" s="10">
        <f>Työkaluvälilehti!$B$12*(A48-A47)*Työkaluvälilehti!$B$7</f>
        <v>1236</v>
      </c>
      <c r="D48" s="10">
        <f t="shared" si="19"/>
        <v>493.17555555555566</v>
      </c>
      <c r="E48" s="10">
        <f t="shared" si="21"/>
        <v>606.36601690262648</v>
      </c>
      <c r="F48" s="10">
        <f t="shared" si="20"/>
        <v>1008.944175837093</v>
      </c>
      <c r="G48" s="10">
        <f t="shared" si="22"/>
        <v>402.5781589344665</v>
      </c>
      <c r="H48" s="10"/>
      <c r="L48" s="10"/>
      <c r="M48" s="10"/>
      <c r="N48" s="10"/>
      <c r="O48" s="10"/>
      <c r="P48" s="10"/>
      <c r="Q48" s="10"/>
      <c r="R48" s="10"/>
    </row>
    <row r="49" spans="1:18" x14ac:dyDescent="0.25">
      <c r="A49" s="6">
        <v>4</v>
      </c>
      <c r="B49" s="10">
        <v>742.82444444444434</v>
      </c>
      <c r="C49" s="10">
        <f>Työkaluvälilehti!$B$12*(A49-A48)*Työkaluvälilehti!$B$7</f>
        <v>1236</v>
      </c>
      <c r="D49" s="10">
        <f>C49-B49</f>
        <v>493.17555555555566</v>
      </c>
      <c r="E49" s="10">
        <f t="shared" ref="E49:F51" si="23">B49/(1+$B$1)^$A49</f>
        <v>566.69721205852943</v>
      </c>
      <c r="F49" s="10">
        <f t="shared" si="23"/>
        <v>942.93848209074122</v>
      </c>
      <c r="G49" s="10">
        <f>F49-E49</f>
        <v>376.24127003221179</v>
      </c>
      <c r="H49" s="10"/>
      <c r="L49" s="10"/>
      <c r="M49" s="10"/>
      <c r="N49" s="10"/>
      <c r="O49" s="10"/>
      <c r="P49" s="10"/>
      <c r="Q49" s="10"/>
      <c r="R49" s="10"/>
    </row>
    <row r="50" spans="1:18" x14ac:dyDescent="0.25">
      <c r="A50" s="6">
        <v>5</v>
      </c>
      <c r="B50" s="10">
        <v>742.82444444444434</v>
      </c>
      <c r="C50" s="10">
        <f>Työkaluvälilehti!$B$12*(A50-A49)*Työkaluvälilehti!$B$7</f>
        <v>1236</v>
      </c>
      <c r="D50" s="10">
        <f>C50-B50</f>
        <v>493.17555555555566</v>
      </c>
      <c r="E50" s="10">
        <f t="shared" si="23"/>
        <v>529.62356267152279</v>
      </c>
      <c r="F50" s="10">
        <f t="shared" si="23"/>
        <v>881.25091784181404</v>
      </c>
      <c r="G50" s="10">
        <f>F50-E50</f>
        <v>351.62735517029125</v>
      </c>
      <c r="H50" s="10"/>
      <c r="L50" s="10"/>
      <c r="M50" s="10"/>
      <c r="N50" s="10"/>
      <c r="O50" s="10"/>
      <c r="P50" s="10"/>
      <c r="Q50" s="10"/>
      <c r="R50" s="10"/>
    </row>
    <row r="51" spans="1:18" x14ac:dyDescent="0.25">
      <c r="A51" s="6">
        <v>6</v>
      </c>
      <c r="B51" s="10">
        <v>742.82444444444434</v>
      </c>
      <c r="C51" s="10">
        <f>Työkaluvälilehti!$B$12*(A51-A50)*Työkaluvälilehti!$B$7</f>
        <v>1236</v>
      </c>
      <c r="D51" s="10">
        <f>C51-B51</f>
        <v>493.17555555555566</v>
      </c>
      <c r="E51" s="10">
        <f t="shared" si="23"/>
        <v>494.97529221637649</v>
      </c>
      <c r="F51" s="10">
        <f t="shared" si="23"/>
        <v>823.59898863720946</v>
      </c>
      <c r="G51" s="10">
        <f>F51-E51</f>
        <v>328.62369642083297</v>
      </c>
      <c r="H51" s="10"/>
      <c r="L51" s="10"/>
      <c r="M51" s="10"/>
      <c r="N51" s="10"/>
      <c r="O51" s="10"/>
      <c r="P51" s="10"/>
      <c r="Q51" s="10"/>
      <c r="R51" s="10"/>
    </row>
    <row r="52" spans="1:18" x14ac:dyDescent="0.25">
      <c r="A52" s="6">
        <v>7</v>
      </c>
      <c r="B52" s="10">
        <v>742.82444444444434</v>
      </c>
      <c r="C52" s="10">
        <f>Työkaluvälilehti!$B$12*(A52-A51)*Työkaluvälilehti!$B$7</f>
        <v>1236</v>
      </c>
      <c r="D52" s="10">
        <f t="shared" ref="D52:D53" si="24">C52-B52</f>
        <v>493.17555555555566</v>
      </c>
      <c r="E52" s="10">
        <f>B52/(1+$B$1)^$A52</f>
        <v>462.59373104334253</v>
      </c>
      <c r="F52" s="10">
        <f t="shared" ref="F52:F54" si="25">C52/(1+$B$1)^$A52</f>
        <v>769.71868096935464</v>
      </c>
      <c r="G52" s="10">
        <f>F52-E52</f>
        <v>307.12494992601211</v>
      </c>
      <c r="H52" s="10"/>
      <c r="L52" s="10"/>
      <c r="M52" s="10"/>
      <c r="N52" s="10"/>
      <c r="O52" s="10"/>
      <c r="P52" s="10"/>
      <c r="Q52" s="10"/>
      <c r="R52" s="10"/>
    </row>
    <row r="53" spans="1:18" x14ac:dyDescent="0.25">
      <c r="A53" s="6">
        <v>8</v>
      </c>
      <c r="B53" s="10">
        <v>742.82444444444434</v>
      </c>
      <c r="C53" s="10">
        <f>Työkaluvälilehti!$B$12*(A53-A52)*Työkaluvälilehti!$B$7</f>
        <v>1236</v>
      </c>
      <c r="D53" s="10">
        <f t="shared" si="24"/>
        <v>493.17555555555566</v>
      </c>
      <c r="E53" s="10">
        <f t="shared" ref="E53" si="26">B53/(1+$B$1)^$A53</f>
        <v>432.33058976013319</v>
      </c>
      <c r="F53" s="10">
        <f t="shared" si="25"/>
        <v>719.36325324238749</v>
      </c>
      <c r="G53" s="10">
        <f t="shared" ref="G53:G54" si="27">F53-E53</f>
        <v>287.03266348225429</v>
      </c>
      <c r="H53" s="10"/>
      <c r="L53" s="10"/>
      <c r="M53" s="10"/>
      <c r="N53" s="10"/>
      <c r="O53" s="10"/>
      <c r="P53" s="10"/>
      <c r="Q53" s="10"/>
      <c r="R53" s="10"/>
    </row>
    <row r="54" spans="1:18" x14ac:dyDescent="0.25">
      <c r="A54" s="6">
        <v>9</v>
      </c>
      <c r="B54" s="10">
        <v>742.82444444444434</v>
      </c>
      <c r="C54" s="10">
        <f>Työkaluvälilehti!$B$12*(A54-A53)*Työkaluvälilehti!$B$7</f>
        <v>1236</v>
      </c>
      <c r="D54" s="10">
        <f>C54-B54</f>
        <v>493.17555555555566</v>
      </c>
      <c r="E54" s="10">
        <f>B54/(1+$B$1)^$A54</f>
        <v>404.04728014965713</v>
      </c>
      <c r="F54" s="10">
        <f t="shared" si="25"/>
        <v>672.30210583400697</v>
      </c>
      <c r="G54" s="10">
        <f t="shared" si="27"/>
        <v>268.25482568434984</v>
      </c>
      <c r="H54" s="10"/>
      <c r="L54" s="10"/>
      <c r="M54" s="10"/>
      <c r="N54" s="10"/>
      <c r="O54" s="10"/>
      <c r="P54" s="10"/>
      <c r="Q54" s="10"/>
      <c r="R54" s="10"/>
    </row>
    <row r="55" spans="1:18" x14ac:dyDescent="0.25">
      <c r="A55" s="6">
        <v>10</v>
      </c>
      <c r="B55" s="10">
        <v>773.1708010335916</v>
      </c>
      <c r="C55" s="10">
        <f>Työkaluvälilehti!$B$12*(A55-A54)*Työkaluvälilehti!$B$7</f>
        <v>1236</v>
      </c>
      <c r="D55" s="10">
        <f>C55-B55</f>
        <v>462.8291989664084</v>
      </c>
      <c r="E55" s="10">
        <f>B55/(1+$B$1)^$A55</f>
        <v>393.04082940465901</v>
      </c>
      <c r="F55" s="10">
        <f>C55/(1+$B$1)^$A55</f>
        <v>628.31972507851117</v>
      </c>
      <c r="G55" s="10">
        <f>F55-E55</f>
        <v>235.27889567385216</v>
      </c>
      <c r="H55" s="10"/>
      <c r="L55" s="10"/>
      <c r="M55" s="10"/>
      <c r="N55" s="10"/>
      <c r="O55" s="10"/>
      <c r="P55" s="10"/>
      <c r="Q55" s="10"/>
      <c r="R55" s="10"/>
    </row>
    <row r="56" spans="1:18" x14ac:dyDescent="0.25">
      <c r="A56" s="6" t="s">
        <v>103</v>
      </c>
      <c r="B56" s="10" t="s">
        <v>107</v>
      </c>
      <c r="C56" s="10" t="s">
        <v>98</v>
      </c>
      <c r="D56" s="10" t="s">
        <v>99</v>
      </c>
      <c r="E56" s="10" t="s">
        <v>100</v>
      </c>
      <c r="F56" s="10" t="s">
        <v>101</v>
      </c>
      <c r="G56" s="10" t="s">
        <v>102</v>
      </c>
      <c r="H56" s="10" t="s">
        <v>83</v>
      </c>
      <c r="L56" s="10"/>
      <c r="M56" s="10"/>
      <c r="N56" s="10"/>
      <c r="O56" s="10"/>
      <c r="P56" s="10"/>
      <c r="Q56" s="10"/>
      <c r="R56" s="10"/>
    </row>
    <row r="57" spans="1:18" x14ac:dyDescent="0.25">
      <c r="B57" s="10">
        <f>SUM(B45:B55)</f>
        <v>8045.7862858820754</v>
      </c>
      <c r="C57" s="10">
        <f t="shared" ref="C57" si="28">SUM(C45:C55)</f>
        <v>11124</v>
      </c>
      <c r="D57" s="10">
        <f>SUM(D45:D55)</f>
        <v>3078.2137141179246</v>
      </c>
      <c r="E57" s="10">
        <f>SUM(E45:E55)</f>
        <v>5862.6857305990861</v>
      </c>
      <c r="F57" s="10">
        <f>SUM(F45:F55)</f>
        <v>7526.0065976768083</v>
      </c>
      <c r="G57" s="10">
        <f>SUM(G45:G55)</f>
        <v>1663.3208670777221</v>
      </c>
      <c r="H57" s="10">
        <f>G57/(1-(1/(1+$B$1))^(A55))</f>
        <v>3383.1353041263014</v>
      </c>
      <c r="L57" s="10"/>
      <c r="M57" s="10"/>
      <c r="N57" s="10"/>
      <c r="O57" s="10"/>
      <c r="P57" s="10"/>
      <c r="Q57" s="10"/>
      <c r="R57" s="10"/>
    </row>
    <row r="58" spans="1:18" x14ac:dyDescent="0.25">
      <c r="B58" s="10" t="s">
        <v>104</v>
      </c>
      <c r="C58" s="10">
        <v>1641.4215478428662</v>
      </c>
      <c r="D58" s="10"/>
      <c r="E58" s="10"/>
      <c r="F58" s="10"/>
      <c r="G58" s="10"/>
      <c r="H58" s="10"/>
      <c r="L58" s="10"/>
      <c r="M58" s="10"/>
      <c r="N58" s="10"/>
      <c r="O58" s="10"/>
      <c r="P58" s="10"/>
      <c r="Q58" s="10"/>
      <c r="R58" s="10"/>
    </row>
    <row r="59" spans="1:18" x14ac:dyDescent="0.25">
      <c r="A59" s="1" t="s">
        <v>127</v>
      </c>
      <c r="B59" s="10"/>
      <c r="C59" s="10"/>
      <c r="D59" s="10"/>
      <c r="E59" s="10"/>
      <c r="F59" s="10"/>
      <c r="G59" s="10"/>
      <c r="H59" s="10"/>
      <c r="L59" s="10"/>
      <c r="M59" s="10"/>
      <c r="N59" s="10"/>
      <c r="O59" s="10"/>
      <c r="P59" s="10"/>
      <c r="Q59" s="10"/>
      <c r="R59" s="10"/>
    </row>
    <row r="60" spans="1:18" x14ac:dyDescent="0.25">
      <c r="A60" s="6" t="s">
        <v>78</v>
      </c>
      <c r="B60" s="10" t="s">
        <v>107</v>
      </c>
      <c r="C60" s="10" t="s">
        <v>98</v>
      </c>
      <c r="D60" s="10" t="s">
        <v>99</v>
      </c>
      <c r="E60" s="10" t="s">
        <v>100</v>
      </c>
      <c r="F60" s="10" t="s">
        <v>101</v>
      </c>
      <c r="G60" s="10" t="s">
        <v>102</v>
      </c>
      <c r="H60" s="10"/>
      <c r="L60" s="10"/>
      <c r="M60" s="10"/>
      <c r="N60" s="10"/>
      <c r="O60" s="10"/>
      <c r="P60" s="10"/>
      <c r="Q60" s="10"/>
      <c r="R60" s="10"/>
    </row>
    <row r="61" spans="1:18" x14ac:dyDescent="0.25">
      <c r="A61" s="6">
        <v>0</v>
      </c>
      <c r="B61" s="10">
        <v>1757.8130404040403</v>
      </c>
      <c r="C61" s="10">
        <v>0</v>
      </c>
      <c r="D61" s="10">
        <f>C61-B61</f>
        <v>-1757.8130404040403</v>
      </c>
      <c r="E61" s="10">
        <f>B61/(1+$B$1)^$A61</f>
        <v>1757.8130404040403</v>
      </c>
      <c r="F61" s="10">
        <f>C61/(1+$B$1)^$A61</f>
        <v>0</v>
      </c>
      <c r="G61" s="10">
        <f>F61-E61</f>
        <v>-1757.8130404040403</v>
      </c>
      <c r="H61" s="10"/>
      <c r="L61" s="10"/>
      <c r="M61" s="10"/>
      <c r="N61" s="10"/>
      <c r="O61" s="10"/>
      <c r="P61" s="10"/>
      <c r="Q61" s="10"/>
      <c r="R61" s="10"/>
    </row>
    <row r="62" spans="1:18" x14ac:dyDescent="0.25">
      <c r="A62" s="6">
        <v>1</v>
      </c>
      <c r="B62" s="10">
        <v>88.968222222222209</v>
      </c>
      <c r="C62" s="10">
        <v>0</v>
      </c>
      <c r="D62" s="10">
        <f>C62-B62</f>
        <v>-88.968222222222209</v>
      </c>
      <c r="E62" s="10">
        <f>B62/(1+$B$1)^$A62</f>
        <v>83.147871235721681</v>
      </c>
      <c r="F62" s="10">
        <f t="shared" ref="F62:F64" si="29">C62/(1+$B$1)^$A62</f>
        <v>0</v>
      </c>
      <c r="G62" s="10">
        <f>F62-E62</f>
        <v>-83.147871235721681</v>
      </c>
      <c r="H62" s="10"/>
      <c r="L62" s="10"/>
      <c r="M62" s="10"/>
      <c r="N62" s="10"/>
      <c r="O62" s="10"/>
      <c r="P62" s="10"/>
      <c r="Q62" s="10"/>
      <c r="R62" s="10"/>
    </row>
    <row r="63" spans="1:18" x14ac:dyDescent="0.25">
      <c r="A63" s="6">
        <v>2</v>
      </c>
      <c r="B63" s="10">
        <v>742.82444444444434</v>
      </c>
      <c r="C63" s="10">
        <f>Työkaluvälilehti!$B$12*(A63-A62)*Työkaluvälilehti!$B$7</f>
        <v>1236</v>
      </c>
      <c r="D63" s="10">
        <f t="shared" ref="D63:D64" si="30">C63-B63</f>
        <v>493.17555555555566</v>
      </c>
      <c r="E63" s="10">
        <f t="shared" ref="E63:E64" si="31">B63/(1+$B$1)^$A63</f>
        <v>648.81163808581039</v>
      </c>
      <c r="F63" s="10">
        <f t="shared" si="29"/>
        <v>1079.5702681456896</v>
      </c>
      <c r="G63" s="10">
        <f t="shared" ref="G63:G64" si="32">F63-E63</f>
        <v>430.75863005987924</v>
      </c>
      <c r="H63" s="10"/>
      <c r="L63" s="10"/>
      <c r="M63" s="10"/>
      <c r="N63" s="10"/>
      <c r="O63" s="10"/>
      <c r="P63" s="10"/>
      <c r="Q63" s="10"/>
      <c r="R63" s="10"/>
    </row>
    <row r="64" spans="1:18" x14ac:dyDescent="0.25">
      <c r="A64" s="6">
        <v>3</v>
      </c>
      <c r="B64" s="10">
        <v>742.82444444444434</v>
      </c>
      <c r="C64" s="10">
        <f>Työkaluvälilehti!$B$12*(A64-A63)*Työkaluvälilehti!$B$7</f>
        <v>1236</v>
      </c>
      <c r="D64" s="10">
        <f t="shared" si="30"/>
        <v>493.17555555555566</v>
      </c>
      <c r="E64" s="10">
        <f t="shared" si="31"/>
        <v>606.36601690262648</v>
      </c>
      <c r="F64" s="10">
        <f t="shared" si="29"/>
        <v>1008.944175837093</v>
      </c>
      <c r="G64" s="10">
        <f t="shared" si="32"/>
        <v>402.5781589344665</v>
      </c>
      <c r="H64" s="10"/>
      <c r="L64" s="10"/>
      <c r="M64" s="10"/>
      <c r="N64" s="10"/>
      <c r="O64" s="10"/>
      <c r="P64" s="10"/>
      <c r="Q64" s="10"/>
      <c r="R64" s="10"/>
    </row>
    <row r="65" spans="1:18" x14ac:dyDescent="0.25">
      <c r="A65" s="6">
        <v>4</v>
      </c>
      <c r="B65" s="10">
        <v>742.82444444444434</v>
      </c>
      <c r="C65" s="10">
        <f>Työkaluvälilehti!$B$12*(A65-A64)*Työkaluvälilehti!$B$7</f>
        <v>1236</v>
      </c>
      <c r="D65" s="10">
        <f>C65-B65</f>
        <v>493.17555555555566</v>
      </c>
      <c r="E65" s="10">
        <f t="shared" ref="E65:F67" si="33">B65/(1+$B$1)^$A65</f>
        <v>566.69721205852943</v>
      </c>
      <c r="F65" s="10">
        <f t="shared" si="33"/>
        <v>942.93848209074122</v>
      </c>
      <c r="G65" s="10">
        <f>F65-E65</f>
        <v>376.24127003221179</v>
      </c>
      <c r="H65" s="10"/>
      <c r="L65" s="10"/>
      <c r="M65" s="10"/>
      <c r="N65" s="10"/>
      <c r="O65" s="10"/>
      <c r="P65" s="10"/>
      <c r="Q65" s="10"/>
      <c r="R65" s="10"/>
    </row>
    <row r="66" spans="1:18" x14ac:dyDescent="0.25">
      <c r="A66" s="6">
        <v>5</v>
      </c>
      <c r="B66" s="10">
        <v>1839.2540869156685</v>
      </c>
      <c r="C66" s="10">
        <f>Työkaluvälilehti!$B$12*(A66-A65)*Työkaluvälilehti!$B$7</f>
        <v>1236</v>
      </c>
      <c r="D66" s="10">
        <f>C66-B66</f>
        <v>-603.25408691566849</v>
      </c>
      <c r="E66" s="10">
        <f t="shared" si="33"/>
        <v>1311.3627445297254</v>
      </c>
      <c r="F66" s="10">
        <f t="shared" si="33"/>
        <v>881.25091784181404</v>
      </c>
      <c r="G66" s="10">
        <f>F66-E66</f>
        <v>-430.11182668791139</v>
      </c>
      <c r="H66" s="10"/>
      <c r="L66" s="10"/>
      <c r="M66" s="10"/>
      <c r="N66" s="10"/>
      <c r="O66" s="10"/>
      <c r="P66" s="10"/>
      <c r="Q66" s="10"/>
      <c r="R66" s="10"/>
    </row>
    <row r="67" spans="1:18" x14ac:dyDescent="0.25">
      <c r="A67" s="6">
        <v>6</v>
      </c>
      <c r="B67" s="10">
        <v>231.00444444444449</v>
      </c>
      <c r="C67" s="10">
        <v>0</v>
      </c>
      <c r="D67" s="10">
        <f>C67-B67</f>
        <v>-231.00444444444449</v>
      </c>
      <c r="E67" s="10">
        <f t="shared" si="33"/>
        <v>153.92801522260916</v>
      </c>
      <c r="F67" s="10">
        <f t="shared" si="33"/>
        <v>0</v>
      </c>
      <c r="G67" s="10">
        <f>F67-E67</f>
        <v>-153.92801522260916</v>
      </c>
      <c r="H67" s="10"/>
      <c r="L67" s="10"/>
      <c r="M67" s="10"/>
      <c r="N67" s="10"/>
      <c r="O67" s="10"/>
      <c r="P67" s="10"/>
      <c r="Q67" s="10"/>
      <c r="R67" s="10"/>
    </row>
    <row r="68" spans="1:18" x14ac:dyDescent="0.25">
      <c r="A68" s="6">
        <v>7</v>
      </c>
      <c r="B68" s="10">
        <v>742.82444444444434</v>
      </c>
      <c r="C68" s="10">
        <f>Työkaluvälilehti!$B$12*(A68-A67)*Työkaluvälilehti!$B$7</f>
        <v>1236</v>
      </c>
      <c r="D68" s="10">
        <f t="shared" ref="D68:D69" si="34">C68-B68</f>
        <v>493.17555555555566</v>
      </c>
      <c r="E68" s="10">
        <f>B68/(1+$B$1)^$A68</f>
        <v>462.59373104334253</v>
      </c>
      <c r="F68" s="10">
        <f t="shared" ref="F68:F70" si="35">C68/(1+$B$1)^$A68</f>
        <v>769.71868096935464</v>
      </c>
      <c r="G68" s="10">
        <f>F68-E68</f>
        <v>307.12494992601211</v>
      </c>
      <c r="H68" s="10"/>
      <c r="L68" s="10"/>
      <c r="M68" s="10"/>
      <c r="N68" s="10"/>
      <c r="O68" s="10"/>
      <c r="P68" s="10"/>
      <c r="Q68" s="10"/>
      <c r="R68" s="10"/>
    </row>
    <row r="69" spans="1:18" x14ac:dyDescent="0.25">
      <c r="A69" s="6">
        <v>8</v>
      </c>
      <c r="B69" s="10">
        <v>742.82444444444434</v>
      </c>
      <c r="C69" s="10">
        <f>Työkaluvälilehti!$B$12*(A69-A68)*Työkaluvälilehti!$B$7</f>
        <v>1236</v>
      </c>
      <c r="D69" s="10">
        <f t="shared" si="34"/>
        <v>493.17555555555566</v>
      </c>
      <c r="E69" s="10">
        <f t="shared" ref="E69" si="36">B69/(1+$B$1)^$A69</f>
        <v>432.33058976013319</v>
      </c>
      <c r="F69" s="10">
        <f t="shared" si="35"/>
        <v>719.36325324238749</v>
      </c>
      <c r="G69" s="10">
        <f t="shared" ref="G69:G70" si="37">F69-E69</f>
        <v>287.03266348225429</v>
      </c>
      <c r="H69" s="10"/>
      <c r="L69" s="10"/>
      <c r="M69" s="10"/>
      <c r="N69" s="10"/>
      <c r="O69" s="10"/>
      <c r="P69" s="10"/>
      <c r="Q69" s="10"/>
      <c r="R69" s="10"/>
    </row>
    <row r="70" spans="1:18" x14ac:dyDescent="0.25">
      <c r="A70" s="6">
        <v>9</v>
      </c>
      <c r="B70" s="10">
        <v>742.82444444444434</v>
      </c>
      <c r="C70" s="10">
        <f>Työkaluvälilehti!$B$12*(A70-A69)*Työkaluvälilehti!$B$7</f>
        <v>1236</v>
      </c>
      <c r="D70" s="10">
        <f>C70-B70</f>
        <v>493.17555555555566</v>
      </c>
      <c r="E70" s="10">
        <f>B70/(1+$B$1)^$A70</f>
        <v>404.04728014965713</v>
      </c>
      <c r="F70" s="10">
        <f t="shared" si="35"/>
        <v>672.30210583400697</v>
      </c>
      <c r="G70" s="10">
        <f t="shared" si="37"/>
        <v>268.25482568434984</v>
      </c>
      <c r="H70" s="10"/>
      <c r="L70" s="10"/>
      <c r="M70" s="10"/>
      <c r="N70" s="10"/>
      <c r="O70" s="10"/>
      <c r="P70" s="10"/>
      <c r="Q70" s="10"/>
      <c r="R70" s="10"/>
    </row>
    <row r="71" spans="1:18" x14ac:dyDescent="0.25">
      <c r="A71" s="6">
        <v>10</v>
      </c>
      <c r="B71" s="10">
        <v>580.61937984496126</v>
      </c>
      <c r="C71" s="10">
        <f>Työkaluvälilehti!$B$12*(A71-A70)*Työkaluvälilehti!$B$7</f>
        <v>1236</v>
      </c>
      <c r="D71" s="10">
        <f>C71-B71</f>
        <v>655.38062015503874</v>
      </c>
      <c r="E71" s="10">
        <f>B71/(1+$B$1)^$A71</f>
        <v>295.15745074388491</v>
      </c>
      <c r="F71" s="10">
        <f>C71/(1+$B$1)^$A71</f>
        <v>628.31972507851117</v>
      </c>
      <c r="G71" s="10">
        <f>F71-E71</f>
        <v>333.16227433462626</v>
      </c>
      <c r="H71" s="10"/>
      <c r="L71" s="10"/>
      <c r="M71" s="10"/>
      <c r="N71" s="10"/>
      <c r="O71" s="10"/>
      <c r="P71" s="10"/>
      <c r="Q71" s="10"/>
      <c r="R71" s="10"/>
    </row>
    <row r="72" spans="1:18" x14ac:dyDescent="0.25">
      <c r="A72" s="6" t="s">
        <v>103</v>
      </c>
      <c r="B72" s="10" t="s">
        <v>107</v>
      </c>
      <c r="C72" s="10" t="s">
        <v>98</v>
      </c>
      <c r="D72" s="10" t="s">
        <v>99</v>
      </c>
      <c r="E72" s="10" t="s">
        <v>100</v>
      </c>
      <c r="F72" s="10" t="s">
        <v>101</v>
      </c>
      <c r="G72" s="10" t="s">
        <v>102</v>
      </c>
      <c r="H72" s="10" t="s">
        <v>83</v>
      </c>
      <c r="L72" s="10"/>
      <c r="M72" s="10"/>
      <c r="N72" s="10"/>
      <c r="O72" s="10"/>
      <c r="P72" s="10"/>
      <c r="Q72" s="10"/>
      <c r="R72" s="10"/>
    </row>
    <row r="73" spans="1:18" x14ac:dyDescent="0.25">
      <c r="B73" s="10">
        <f>SUM(B61:B71)</f>
        <v>8954.6058404980031</v>
      </c>
      <c r="C73" s="10">
        <f t="shared" ref="C73:G73" si="38">SUM(C61:C71)</f>
        <v>9888</v>
      </c>
      <c r="D73" s="10">
        <f t="shared" si="38"/>
        <v>933.39415950199702</v>
      </c>
      <c r="E73" s="10">
        <f t="shared" si="38"/>
        <v>6722.2555901360802</v>
      </c>
      <c r="F73" s="10">
        <f t="shared" si="38"/>
        <v>6702.4076090395984</v>
      </c>
      <c r="G73" s="10">
        <f t="shared" si="38"/>
        <v>-19.84798109648267</v>
      </c>
      <c r="H73" s="10">
        <f>G73/(1-(1/(1+$B$1))^(A71))</f>
        <v>-40.370085467102079</v>
      </c>
      <c r="L73" s="10"/>
      <c r="M73" s="10"/>
      <c r="N73" s="10"/>
      <c r="O73" s="10"/>
      <c r="P73" s="10"/>
      <c r="Q73" s="10"/>
      <c r="R73" s="10"/>
    </row>
    <row r="74" spans="1:18" x14ac:dyDescent="0.25">
      <c r="B74" s="10" t="s">
        <v>104</v>
      </c>
      <c r="C74" s="10">
        <v>1639.3209567206075</v>
      </c>
      <c r="D74" s="10"/>
      <c r="E74" s="10"/>
      <c r="F74" s="10"/>
      <c r="G74" s="10"/>
      <c r="H74" s="10"/>
      <c r="L74" s="10"/>
      <c r="M74" s="10"/>
      <c r="N74" s="10"/>
      <c r="O74" s="10"/>
      <c r="P74" s="10"/>
      <c r="Q74" s="10"/>
      <c r="R74" s="10"/>
    </row>
    <row r="75" spans="1:18" x14ac:dyDescent="0.25">
      <c r="A75" s="6" t="s">
        <v>72</v>
      </c>
      <c r="B75" s="10"/>
      <c r="C75" s="10"/>
      <c r="D75" s="10"/>
      <c r="E75" s="10"/>
      <c r="F75" s="10"/>
      <c r="G75" s="10"/>
      <c r="H75" s="10"/>
      <c r="L75" s="10"/>
      <c r="M75" s="10"/>
      <c r="N75" s="10"/>
      <c r="O75" s="10"/>
      <c r="P75" s="10"/>
      <c r="Q75" s="10"/>
      <c r="R75" s="10"/>
    </row>
    <row r="76" spans="1:18" x14ac:dyDescent="0.25">
      <c r="A76" s="6" t="s">
        <v>78</v>
      </c>
      <c r="B76" s="10" t="s">
        <v>107</v>
      </c>
      <c r="C76" s="10" t="s">
        <v>98</v>
      </c>
      <c r="D76" s="10" t="s">
        <v>99</v>
      </c>
      <c r="E76" s="10" t="s">
        <v>100</v>
      </c>
      <c r="F76" s="10" t="s">
        <v>101</v>
      </c>
      <c r="G76" s="10" t="s">
        <v>102</v>
      </c>
      <c r="H76" s="10"/>
      <c r="L76" s="10"/>
      <c r="M76" s="10"/>
      <c r="N76" s="10"/>
      <c r="O76" s="10"/>
      <c r="P76" s="10"/>
      <c r="Q76" s="10"/>
      <c r="R76" s="10"/>
    </row>
    <row r="77" spans="1:18" x14ac:dyDescent="0.25">
      <c r="A77" s="6">
        <v>0</v>
      </c>
      <c r="B77" s="10">
        <v>1241.0517070707067</v>
      </c>
      <c r="C77" s="10">
        <v>0</v>
      </c>
      <c r="D77" s="10">
        <f>C77-B77</f>
        <v>-1241.0517070707067</v>
      </c>
      <c r="E77" s="10">
        <f>B77/(1+$B$1)^$A77</f>
        <v>1241.0517070707067</v>
      </c>
      <c r="F77" s="10">
        <f>C77/(1+$B$1)^$A77</f>
        <v>0</v>
      </c>
      <c r="G77" s="10">
        <f>F77-E77</f>
        <v>-1241.0517070707067</v>
      </c>
      <c r="H77" s="10"/>
      <c r="L77" s="10"/>
      <c r="M77" s="10"/>
      <c r="N77" s="10"/>
      <c r="O77" s="10"/>
      <c r="P77" s="10"/>
      <c r="Q77" s="10"/>
      <c r="R77" s="10"/>
    </row>
    <row r="78" spans="1:18" x14ac:dyDescent="0.25">
      <c r="A78" s="6">
        <v>1</v>
      </c>
      <c r="B78" s="10">
        <v>655.17603864734315</v>
      </c>
      <c r="C78" s="10">
        <f>Työkaluvälilehti!$B$12*(A79-A78)*Työkaluvälilehti!$B$3</f>
        <v>960</v>
      </c>
      <c r="D78" s="10">
        <f>C78-B78</f>
        <v>304.82396135265685</v>
      </c>
      <c r="E78" s="10">
        <f>B78/(1+$B$1)^$A78</f>
        <v>612.31405481060108</v>
      </c>
      <c r="F78" s="10">
        <f t="shared" ref="F78:F80" si="39">C78/(1+$B$1)^$A78</f>
        <v>897.19626168224295</v>
      </c>
      <c r="G78" s="10">
        <f>F78-E78</f>
        <v>284.88220687164187</v>
      </c>
      <c r="H78" s="10"/>
      <c r="L78" s="10"/>
      <c r="M78" s="10"/>
      <c r="N78" s="10"/>
      <c r="O78" s="10"/>
      <c r="P78" s="10"/>
      <c r="Q78" s="10"/>
      <c r="R78" s="10"/>
    </row>
    <row r="79" spans="1:18" x14ac:dyDescent="0.25">
      <c r="A79" s="6">
        <v>2</v>
      </c>
      <c r="B79" s="10">
        <v>655.17603864734315</v>
      </c>
      <c r="C79" s="10">
        <f>Työkaluvälilehti!$B$12*(A79-A78)*Työkaluvälilehti!$B$3</f>
        <v>960</v>
      </c>
      <c r="D79" s="10">
        <f t="shared" ref="D79:D80" si="40">C79-B79</f>
        <v>304.82396135265685</v>
      </c>
      <c r="E79" s="10">
        <f t="shared" ref="E79:E80" si="41">B79/(1+$B$1)^$A79</f>
        <v>572.25612599121598</v>
      </c>
      <c r="F79" s="10">
        <f t="shared" si="39"/>
        <v>838.50117914228315</v>
      </c>
      <c r="G79" s="10">
        <f t="shared" ref="G79:G80" si="42">F79-E79</f>
        <v>266.24505315106717</v>
      </c>
      <c r="H79" s="10"/>
      <c r="L79" s="10"/>
      <c r="M79" s="10"/>
      <c r="N79" s="10"/>
      <c r="O79" s="10"/>
      <c r="P79" s="10"/>
      <c r="Q79" s="10"/>
      <c r="R79" s="10"/>
    </row>
    <row r="80" spans="1:18" x14ac:dyDescent="0.25">
      <c r="A80" s="6">
        <v>3</v>
      </c>
      <c r="B80" s="10">
        <v>655.17603864734315</v>
      </c>
      <c r="C80" s="10">
        <f>Työkaluvälilehti!$B$12*(A80-A79)*Työkaluvälilehti!$B$3</f>
        <v>960</v>
      </c>
      <c r="D80" s="10">
        <f t="shared" si="40"/>
        <v>304.82396135265685</v>
      </c>
      <c r="E80" s="10">
        <f t="shared" si="41"/>
        <v>534.81880933758498</v>
      </c>
      <c r="F80" s="10">
        <f t="shared" si="39"/>
        <v>783.6459618152179</v>
      </c>
      <c r="G80" s="10">
        <f t="shared" si="42"/>
        <v>248.82715247763292</v>
      </c>
      <c r="H80" s="10"/>
      <c r="L80" s="10"/>
      <c r="M80" s="10"/>
      <c r="N80" s="10"/>
      <c r="O80" s="10"/>
      <c r="P80" s="10"/>
      <c r="Q80" s="10"/>
      <c r="R80" s="10"/>
    </row>
    <row r="81" spans="1:18" x14ac:dyDescent="0.25">
      <c r="A81" s="6">
        <v>4</v>
      </c>
      <c r="B81" s="10">
        <v>655.17603864734315</v>
      </c>
      <c r="C81" s="10">
        <f>Työkaluvälilehti!$B$12*(A81-A80)*Työkaluvälilehti!$B$3</f>
        <v>960</v>
      </c>
      <c r="D81" s="10">
        <f>C81-B81</f>
        <v>304.82396135265685</v>
      </c>
      <c r="E81" s="10">
        <f t="shared" ref="E81:F83" si="43">B81/(1+$B$1)^$A81</f>
        <v>499.83066293232241</v>
      </c>
      <c r="F81" s="10">
        <f t="shared" si="43"/>
        <v>732.37940356562422</v>
      </c>
      <c r="G81" s="10">
        <f>F81-E81</f>
        <v>232.5487406333018</v>
      </c>
      <c r="H81" s="10"/>
      <c r="L81" s="10"/>
      <c r="M81" s="10"/>
      <c r="N81" s="10"/>
      <c r="O81" s="10"/>
      <c r="P81" s="10"/>
      <c r="Q81" s="10"/>
      <c r="R81" s="10"/>
    </row>
    <row r="82" spans="1:18" x14ac:dyDescent="0.25">
      <c r="A82" s="6">
        <v>5</v>
      </c>
      <c r="B82" s="10">
        <v>655.17603864734315</v>
      </c>
      <c r="C82" s="10">
        <f>Työkaluvälilehti!$B$12*(A82-A81)*Työkaluvälilehti!$B$3</f>
        <v>960</v>
      </c>
      <c r="D82" s="10">
        <f>C82-B82</f>
        <v>304.82396135265685</v>
      </c>
      <c r="E82" s="10">
        <f t="shared" si="43"/>
        <v>467.13146068441341</v>
      </c>
      <c r="F82" s="10">
        <f t="shared" si="43"/>
        <v>684.46673230432157</v>
      </c>
      <c r="G82" s="10">
        <f>F82-E82</f>
        <v>217.33527161990816</v>
      </c>
      <c r="H82" s="10"/>
      <c r="L82" s="10"/>
      <c r="M82" s="10"/>
      <c r="N82" s="10"/>
      <c r="O82" s="10"/>
      <c r="P82" s="10"/>
      <c r="Q82" s="10"/>
      <c r="R82" s="10"/>
    </row>
    <row r="83" spans="1:18" x14ac:dyDescent="0.25">
      <c r="A83" s="6">
        <v>6</v>
      </c>
      <c r="B83" s="10">
        <v>655.17603864734315</v>
      </c>
      <c r="C83" s="10">
        <f>Työkaluvälilehti!$B$12*(A83-A82)*Työkaluvälilehti!$B$3</f>
        <v>960</v>
      </c>
      <c r="D83" s="10">
        <f>C83-B83</f>
        <v>304.82396135265685</v>
      </c>
      <c r="E83" s="10">
        <f t="shared" si="43"/>
        <v>436.57145858356398</v>
      </c>
      <c r="F83" s="10">
        <f t="shared" si="43"/>
        <v>639.68853486385206</v>
      </c>
      <c r="G83" s="10">
        <f>F83-E83</f>
        <v>203.11707628028807</v>
      </c>
      <c r="H83" s="10"/>
      <c r="L83" s="10"/>
      <c r="M83" s="10"/>
      <c r="N83" s="10"/>
      <c r="O83" s="10"/>
      <c r="P83" s="10"/>
      <c r="Q83" s="10"/>
      <c r="R83" s="10"/>
    </row>
    <row r="84" spans="1:18" x14ac:dyDescent="0.25">
      <c r="A84" s="6">
        <v>7</v>
      </c>
      <c r="B84" s="10">
        <v>655.17603864734315</v>
      </c>
      <c r="C84" s="10">
        <f>Työkaluvälilehti!$B$12*(A84-A83)*Työkaluvälilehti!$B$3</f>
        <v>960</v>
      </c>
      <c r="D84" s="10">
        <f t="shared" ref="D84:D85" si="44">C84-B84</f>
        <v>304.82396135265685</v>
      </c>
      <c r="E84" s="10">
        <f>B84/(1+$B$1)^$A84</f>
        <v>408.01070895660183</v>
      </c>
      <c r="F84" s="10">
        <f t="shared" ref="F84:F86" si="45">C84/(1+$B$1)^$A84</f>
        <v>597.83975220920752</v>
      </c>
      <c r="G84" s="10">
        <f>F84-E84</f>
        <v>189.82904325260569</v>
      </c>
      <c r="H84" s="10"/>
      <c r="L84" s="10"/>
      <c r="M84" s="10"/>
      <c r="N84" s="10"/>
      <c r="O84" s="10"/>
      <c r="P84" s="10"/>
      <c r="Q84" s="10"/>
      <c r="R84" s="10"/>
    </row>
    <row r="85" spans="1:18" x14ac:dyDescent="0.25">
      <c r="A85" s="6">
        <v>8</v>
      </c>
      <c r="B85" s="10">
        <v>655.17603864734315</v>
      </c>
      <c r="C85" s="10">
        <f>Työkaluvälilehti!$B$12*(A85-A84)*Työkaluvälilehti!$B$3</f>
        <v>960</v>
      </c>
      <c r="D85" s="10">
        <f t="shared" si="44"/>
        <v>304.82396135265685</v>
      </c>
      <c r="E85" s="10">
        <f t="shared" ref="E85" si="46">B85/(1+$B$1)^$A85</f>
        <v>381.31841958560921</v>
      </c>
      <c r="F85" s="10">
        <f t="shared" si="45"/>
        <v>558.72874038243685</v>
      </c>
      <c r="G85" s="10">
        <f t="shared" ref="G85:G86" si="47">F85-E85</f>
        <v>177.41032079682765</v>
      </c>
      <c r="H85" s="10"/>
      <c r="L85" s="10"/>
      <c r="M85" s="10"/>
      <c r="N85" s="10"/>
      <c r="O85" s="10"/>
      <c r="P85" s="10"/>
      <c r="Q85" s="10"/>
      <c r="R85" s="10"/>
    </row>
    <row r="86" spans="1:18" x14ac:dyDescent="0.25">
      <c r="A86" s="6">
        <v>9</v>
      </c>
      <c r="B86" s="10">
        <v>655.17603864734315</v>
      </c>
      <c r="C86" s="10">
        <f>Työkaluvälilehti!$B$12*(A86-A85)*Työkaluvälilehti!$B$3</f>
        <v>960</v>
      </c>
      <c r="D86" s="10">
        <f>C86-B86</f>
        <v>304.82396135265685</v>
      </c>
      <c r="E86" s="10">
        <f>B86/(1+$B$1)^$A86</f>
        <v>356.37235475290578</v>
      </c>
      <c r="F86" s="10">
        <f t="shared" si="45"/>
        <v>522.17639288078203</v>
      </c>
      <c r="G86" s="10">
        <f t="shared" si="47"/>
        <v>165.80403812787625</v>
      </c>
      <c r="H86" s="10"/>
      <c r="L86" s="10"/>
      <c r="M86" s="10"/>
      <c r="N86" s="10"/>
      <c r="O86" s="10"/>
      <c r="P86" s="10"/>
      <c r="Q86" s="10"/>
      <c r="R86" s="10"/>
    </row>
    <row r="87" spans="1:18" x14ac:dyDescent="0.25">
      <c r="A87" s="6">
        <v>10</v>
      </c>
      <c r="B87" s="10">
        <v>685.52239523649041</v>
      </c>
      <c r="C87" s="10">
        <f>Työkaluvälilehti!$B$12*(A87-A86)*Työkaluvälilehti!$B$3</f>
        <v>960</v>
      </c>
      <c r="D87" s="10">
        <f>C87-B87</f>
        <v>274.47760476350959</v>
      </c>
      <c r="E87" s="10">
        <f>B87/(1+$B$1)^$A87</f>
        <v>348.48482436096612</v>
      </c>
      <c r="F87" s="10">
        <f>C87/(1+$B$1)^$A87</f>
        <v>488.01532044932907</v>
      </c>
      <c r="G87" s="10">
        <f>F87-E87</f>
        <v>139.53049608836295</v>
      </c>
      <c r="H87" s="10"/>
      <c r="L87" s="10"/>
      <c r="M87" s="10"/>
      <c r="N87" s="10"/>
      <c r="O87" s="10"/>
      <c r="P87" s="10"/>
      <c r="Q87" s="10"/>
      <c r="R87" s="10"/>
    </row>
    <row r="88" spans="1:18" x14ac:dyDescent="0.25">
      <c r="A88" s="6" t="s">
        <v>103</v>
      </c>
      <c r="B88" s="10" t="s">
        <v>107</v>
      </c>
      <c r="C88" s="10" t="s">
        <v>98</v>
      </c>
      <c r="D88" s="10" t="s">
        <v>99</v>
      </c>
      <c r="E88" s="10" t="s">
        <v>100</v>
      </c>
      <c r="F88" s="10" t="s">
        <v>101</v>
      </c>
      <c r="G88" s="10" t="s">
        <v>102</v>
      </c>
      <c r="H88" s="10" t="s">
        <v>83</v>
      </c>
      <c r="L88" s="10"/>
      <c r="M88" s="10"/>
      <c r="N88" s="10"/>
      <c r="O88" s="10"/>
      <c r="P88" s="10"/>
      <c r="Q88" s="10"/>
      <c r="R88" s="10"/>
    </row>
    <row r="89" spans="1:18" x14ac:dyDescent="0.25">
      <c r="B89" s="10">
        <f>SUM(B77:B87)</f>
        <v>7823.1584501332873</v>
      </c>
      <c r="C89" s="10">
        <f t="shared" ref="C89:G89" si="48">SUM(C77:C87)</f>
        <v>9600</v>
      </c>
      <c r="D89" s="10">
        <f>SUM(D77:D87)</f>
        <v>1776.8415498667146</v>
      </c>
      <c r="E89" s="10">
        <f t="shared" si="48"/>
        <v>5858.1605870664916</v>
      </c>
      <c r="F89" s="10">
        <f t="shared" si="48"/>
        <v>6742.6382792952973</v>
      </c>
      <c r="G89" s="10">
        <f t="shared" si="48"/>
        <v>884.47769222880584</v>
      </c>
      <c r="H89" s="10">
        <f>G89/(1-(1/(1+$B$1))^(A87))</f>
        <v>1798.9960719657156</v>
      </c>
      <c r="L89" s="10"/>
      <c r="M89" s="10"/>
      <c r="N89" s="10"/>
      <c r="O89" s="10"/>
      <c r="P89" s="10"/>
      <c r="Q89" s="10"/>
      <c r="R89" s="10"/>
    </row>
    <row r="90" spans="1:18" x14ac:dyDescent="0.25">
      <c r="B90" s="10" t="s">
        <v>104</v>
      </c>
      <c r="C90" s="10">
        <v>1610.3158450133287</v>
      </c>
      <c r="D90" s="10"/>
      <c r="E90" s="10"/>
      <c r="F90" s="10"/>
      <c r="G90" s="10"/>
      <c r="H90" s="10"/>
      <c r="L90" s="10"/>
      <c r="M90" s="10"/>
      <c r="N90" s="10"/>
      <c r="O90" s="10"/>
      <c r="P90" s="10"/>
      <c r="Q90" s="10"/>
      <c r="R90" s="10"/>
    </row>
    <row r="91" spans="1:18" x14ac:dyDescent="0.25">
      <c r="A91" s="6" t="s">
        <v>74</v>
      </c>
      <c r="B91" s="10"/>
      <c r="C91" s="10"/>
      <c r="D91" s="10"/>
      <c r="E91" s="10"/>
      <c r="F91" s="10"/>
      <c r="G91" s="10"/>
      <c r="H91" s="10"/>
      <c r="L91" s="10"/>
      <c r="M91" s="10"/>
      <c r="N91" s="10"/>
      <c r="O91" s="10"/>
      <c r="P91" s="10"/>
      <c r="Q91" s="10"/>
      <c r="R91" s="10"/>
    </row>
    <row r="92" spans="1:18" x14ac:dyDescent="0.25">
      <c r="A92" s="6" t="s">
        <v>78</v>
      </c>
      <c r="B92" s="10" t="s">
        <v>107</v>
      </c>
      <c r="C92" s="10" t="s">
        <v>98</v>
      </c>
      <c r="D92" s="10" t="s">
        <v>99</v>
      </c>
      <c r="E92" s="10" t="s">
        <v>100</v>
      </c>
      <c r="F92" s="10" t="s">
        <v>101</v>
      </c>
      <c r="G92" s="10" t="s">
        <v>102</v>
      </c>
      <c r="H92" s="10"/>
      <c r="L92" s="10"/>
      <c r="M92" s="10"/>
      <c r="N92" s="10"/>
      <c r="O92" s="10"/>
      <c r="P92" s="10"/>
      <c r="Q92" s="10"/>
      <c r="R92" s="10"/>
    </row>
    <row r="93" spans="1:18" x14ac:dyDescent="0.25">
      <c r="A93" s="6">
        <v>0</v>
      </c>
      <c r="B93" s="10">
        <v>1241.0517070707067</v>
      </c>
      <c r="C93" s="10">
        <v>0</v>
      </c>
      <c r="D93" s="10">
        <f>C93-B93</f>
        <v>-1241.0517070707067</v>
      </c>
      <c r="E93" s="10">
        <f>B93/(1+$B$1)^$A93</f>
        <v>1241.0517070707067</v>
      </c>
      <c r="F93" s="10">
        <f>C93/(1+$B$1)^$A93</f>
        <v>0</v>
      </c>
      <c r="G93" s="10">
        <f>F93-E93</f>
        <v>-1241.0517070707067</v>
      </c>
      <c r="H93" s="10"/>
      <c r="L93" s="10"/>
      <c r="M93" s="10"/>
      <c r="N93" s="10"/>
      <c r="O93" s="10"/>
      <c r="P93" s="10"/>
      <c r="Q93" s="10"/>
      <c r="R93" s="10"/>
    </row>
    <row r="94" spans="1:18" x14ac:dyDescent="0.25">
      <c r="A94" s="6">
        <v>1</v>
      </c>
      <c r="B94" s="10">
        <v>88.968222222222209</v>
      </c>
      <c r="C94" s="10">
        <v>0</v>
      </c>
      <c r="D94" s="10">
        <f>C94-B94</f>
        <v>-88.968222222222209</v>
      </c>
      <c r="E94" s="10">
        <f>B94/(1+$B$1)^$A94</f>
        <v>83.147871235721681</v>
      </c>
      <c r="F94" s="10">
        <f t="shared" ref="F94:F96" si="49">C94/(1+$B$1)^$A94</f>
        <v>0</v>
      </c>
      <c r="G94" s="10">
        <f>F94-E94</f>
        <v>-83.147871235721681</v>
      </c>
      <c r="H94" s="10"/>
      <c r="L94" s="10"/>
      <c r="M94" s="10"/>
      <c r="N94" s="10"/>
      <c r="O94" s="10"/>
      <c r="P94" s="10"/>
      <c r="Q94" s="10"/>
      <c r="R94" s="10"/>
    </row>
    <row r="95" spans="1:18" x14ac:dyDescent="0.25">
      <c r="A95" s="6">
        <v>2</v>
      </c>
      <c r="B95" s="10">
        <v>976.66324361628699</v>
      </c>
      <c r="C95" s="10">
        <f>Työkaluvälilehti!$B$12*(A95-A94)*Työkaluvälilehti!$B$4</f>
        <v>1200</v>
      </c>
      <c r="D95" s="10">
        <f t="shared" ref="D95:D96" si="50">C95-B95</f>
        <v>223.33675638371301</v>
      </c>
      <c r="E95" s="10">
        <f t="shared" ref="E95:E96" si="51">B95/(1+$B$1)^$A95</f>
        <v>853.05550145539962</v>
      </c>
      <c r="F95" s="10">
        <f t="shared" si="49"/>
        <v>1048.126473927854</v>
      </c>
      <c r="G95" s="10">
        <f t="shared" ref="G95:G96" si="52">F95-E95</f>
        <v>195.0709724724544</v>
      </c>
      <c r="H95" s="10"/>
      <c r="L95" s="10"/>
      <c r="M95" s="10"/>
      <c r="N95" s="10"/>
      <c r="O95" s="10"/>
      <c r="P95" s="10"/>
      <c r="Q95" s="10"/>
      <c r="R95" s="10"/>
    </row>
    <row r="96" spans="1:18" x14ac:dyDescent="0.25">
      <c r="A96" s="6">
        <v>3</v>
      </c>
      <c r="B96" s="10">
        <v>976.66324361628699</v>
      </c>
      <c r="C96" s="10">
        <f>Työkaluvälilehti!$B$12*(A96-A95)*Työkaluvälilehti!$B$4</f>
        <v>1200</v>
      </c>
      <c r="D96" s="10">
        <f t="shared" si="50"/>
        <v>223.33675638371301</v>
      </c>
      <c r="E96" s="10">
        <f t="shared" si="51"/>
        <v>797.24813220130795</v>
      </c>
      <c r="F96" s="10">
        <f t="shared" si="49"/>
        <v>979.55745226902229</v>
      </c>
      <c r="G96" s="10">
        <f t="shared" si="52"/>
        <v>182.30932006771434</v>
      </c>
      <c r="H96" s="10"/>
      <c r="L96" s="10"/>
      <c r="M96" s="10"/>
      <c r="N96" s="10"/>
      <c r="O96" s="10"/>
      <c r="P96" s="10"/>
      <c r="Q96" s="10"/>
      <c r="R96" s="10"/>
    </row>
    <row r="97" spans="1:18" x14ac:dyDescent="0.25">
      <c r="A97" s="6">
        <v>4</v>
      </c>
      <c r="B97" s="10">
        <v>976.66324361628699</v>
      </c>
      <c r="C97" s="10">
        <f>Työkaluvälilehti!$B$12*(A97-A96)*Työkaluvälilehti!$B$4</f>
        <v>1200</v>
      </c>
      <c r="D97" s="10">
        <f>C97-B97</f>
        <v>223.33675638371301</v>
      </c>
      <c r="E97" s="10">
        <f t="shared" ref="E97:F99" si="53">B97/(1+$B$1)^$A97</f>
        <v>745.09171233767108</v>
      </c>
      <c r="F97" s="10">
        <f t="shared" si="53"/>
        <v>915.47425445703027</v>
      </c>
      <c r="G97" s="10">
        <f>F97-E97</f>
        <v>170.38254211935919</v>
      </c>
      <c r="H97" s="10"/>
      <c r="L97" s="10"/>
      <c r="M97" s="10"/>
      <c r="N97" s="10"/>
      <c r="O97" s="10"/>
      <c r="P97" s="10"/>
      <c r="Q97" s="10"/>
      <c r="R97" s="10"/>
    </row>
    <row r="98" spans="1:18" x14ac:dyDescent="0.25">
      <c r="A98" s="6">
        <v>5</v>
      </c>
      <c r="B98" s="10">
        <v>976.66324361628699</v>
      </c>
      <c r="C98" s="10">
        <f>Työkaluvälilehti!$B$12*(A98-A97)*Työkaluvälilehti!$B$4</f>
        <v>1200</v>
      </c>
      <c r="D98" s="10">
        <f>C98-B98</f>
        <v>223.33675638371301</v>
      </c>
      <c r="E98" s="10">
        <f t="shared" si="53"/>
        <v>696.34739470810371</v>
      </c>
      <c r="F98" s="10">
        <f t="shared" si="53"/>
        <v>855.58341538040202</v>
      </c>
      <c r="G98" s="10">
        <f>F98-E98</f>
        <v>159.23602067229831</v>
      </c>
      <c r="H98" s="10"/>
      <c r="L98" s="10"/>
      <c r="M98" s="10"/>
      <c r="N98" s="10"/>
      <c r="O98" s="10"/>
      <c r="P98" s="10"/>
      <c r="Q98" s="10"/>
      <c r="R98" s="10"/>
    </row>
    <row r="99" spans="1:18" x14ac:dyDescent="0.25">
      <c r="A99" s="6">
        <v>6</v>
      </c>
      <c r="B99" s="10">
        <v>976.66324361628699</v>
      </c>
      <c r="C99" s="10">
        <f>Työkaluvälilehti!$B$12*(A99-A98)*Työkaluvälilehti!$B$4</f>
        <v>1200</v>
      </c>
      <c r="D99" s="10">
        <f>C99-B99</f>
        <v>223.33675638371301</v>
      </c>
      <c r="E99" s="10">
        <f t="shared" si="53"/>
        <v>650.79195767112503</v>
      </c>
      <c r="F99" s="10">
        <f t="shared" si="53"/>
        <v>799.61066857981507</v>
      </c>
      <c r="G99" s="10">
        <f>F99-E99</f>
        <v>148.81871090869004</v>
      </c>
      <c r="H99" s="10"/>
      <c r="L99" s="10"/>
      <c r="M99" s="10"/>
      <c r="N99" s="10"/>
      <c r="O99" s="10"/>
      <c r="P99" s="10"/>
      <c r="Q99" s="10"/>
      <c r="R99" s="10"/>
    </row>
    <row r="100" spans="1:18" x14ac:dyDescent="0.25">
      <c r="A100" s="6">
        <v>7</v>
      </c>
      <c r="B100" s="10">
        <v>976.66324361628699</v>
      </c>
      <c r="C100" s="10">
        <f>Työkaluvälilehti!$B$12*(A100-A99)*Työkaluvälilehti!$B$4</f>
        <v>1200</v>
      </c>
      <c r="D100" s="10">
        <f t="shared" ref="D100:D101" si="54">C100-B100</f>
        <v>223.33675638371301</v>
      </c>
      <c r="E100" s="10">
        <f>B100/(1+$B$1)^$A100</f>
        <v>608.2167828702103</v>
      </c>
      <c r="F100" s="10">
        <f t="shared" ref="F100:F102" si="55">C100/(1+$B$1)^$A100</f>
        <v>747.29969026150934</v>
      </c>
      <c r="G100" s="10">
        <f>F100-E100</f>
        <v>139.08290739129905</v>
      </c>
      <c r="H100" s="10"/>
      <c r="L100" s="10"/>
      <c r="M100" s="10"/>
      <c r="N100" s="10"/>
      <c r="O100" s="10"/>
      <c r="P100" s="10"/>
      <c r="Q100" s="10"/>
      <c r="R100" s="10"/>
    </row>
    <row r="101" spans="1:18" x14ac:dyDescent="0.25">
      <c r="A101" s="6">
        <v>8</v>
      </c>
      <c r="B101" s="10">
        <v>976.66324361628699</v>
      </c>
      <c r="C101" s="10">
        <f>Työkaluvälilehti!$B$12*(A101-A100)*Työkaluvälilehti!$B$4</f>
        <v>1200</v>
      </c>
      <c r="D101" s="10">
        <f t="shared" si="54"/>
        <v>223.33675638371301</v>
      </c>
      <c r="E101" s="10">
        <f t="shared" ref="E101" si="56">B101/(1+$B$1)^$A101</f>
        <v>568.42689987870119</v>
      </c>
      <c r="F101" s="10">
        <f t="shared" si="55"/>
        <v>698.41092547804612</v>
      </c>
      <c r="G101" s="10">
        <f t="shared" ref="G101:G102" si="57">F101-E101</f>
        <v>129.98402559934493</v>
      </c>
      <c r="H101" s="10"/>
      <c r="L101" s="10"/>
      <c r="M101" s="10"/>
      <c r="N101" s="10"/>
      <c r="O101" s="10"/>
      <c r="P101" s="10"/>
      <c r="Q101" s="10"/>
      <c r="R101" s="10"/>
    </row>
    <row r="102" spans="1:18" x14ac:dyDescent="0.25">
      <c r="A102" s="6">
        <v>9</v>
      </c>
      <c r="B102" s="10">
        <v>976.66324361628699</v>
      </c>
      <c r="C102" s="10">
        <f>Työkaluvälilehti!$B$12*(A102-A101)*Työkaluvälilehti!$B$4</f>
        <v>1200</v>
      </c>
      <c r="D102" s="10">
        <f>C102-B102</f>
        <v>223.33675638371301</v>
      </c>
      <c r="E102" s="10">
        <f>B102/(1+$B$1)^$A102</f>
        <v>531.24009334458049</v>
      </c>
      <c r="F102" s="10">
        <f t="shared" si="55"/>
        <v>652.7204911009776</v>
      </c>
      <c r="G102" s="10">
        <f t="shared" si="57"/>
        <v>121.48039775639711</v>
      </c>
      <c r="H102" s="10"/>
      <c r="L102" s="10"/>
      <c r="M102" s="10"/>
      <c r="N102" s="10"/>
      <c r="O102" s="10"/>
      <c r="P102" s="10"/>
      <c r="Q102" s="10"/>
      <c r="R102" s="10"/>
    </row>
    <row r="103" spans="1:18" x14ac:dyDescent="0.25">
      <c r="A103" s="6">
        <v>10</v>
      </c>
      <c r="B103" s="10">
        <v>1007.0096002054343</v>
      </c>
      <c r="C103" s="10">
        <f>Työkaluvälilehti!$B$12*(A103-A102)*Työkaluvälilehti!$B$4</f>
        <v>1200</v>
      </c>
      <c r="D103" s="10">
        <f>C103-B103</f>
        <v>192.99039979456575</v>
      </c>
      <c r="E103" s="10">
        <f>B103/(1+$B$1)^$A103</f>
        <v>511.91261743729768</v>
      </c>
      <c r="F103" s="10">
        <f>C103/(1+$B$1)^$A103</f>
        <v>610.01915056166138</v>
      </c>
      <c r="G103" s="10">
        <f>F103-E103</f>
        <v>98.106533124363693</v>
      </c>
      <c r="H103" s="10"/>
      <c r="L103" s="10"/>
      <c r="M103" s="10"/>
      <c r="N103" s="10"/>
      <c r="O103" s="10"/>
      <c r="P103" s="10"/>
      <c r="Q103" s="10"/>
      <c r="R103" s="10"/>
    </row>
    <row r="104" spans="1:18" x14ac:dyDescent="0.25">
      <c r="A104" s="6" t="s">
        <v>103</v>
      </c>
      <c r="B104" s="10" t="s">
        <v>107</v>
      </c>
      <c r="C104" s="10" t="s">
        <v>98</v>
      </c>
      <c r="D104" s="10" t="s">
        <v>99</v>
      </c>
      <c r="E104" s="10" t="s">
        <v>100</v>
      </c>
      <c r="F104" s="10" t="s">
        <v>101</v>
      </c>
      <c r="G104" s="10" t="s">
        <v>102</v>
      </c>
      <c r="H104" s="10" t="s">
        <v>83</v>
      </c>
      <c r="L104" s="10"/>
      <c r="M104" s="10"/>
      <c r="N104" s="10"/>
      <c r="O104" s="10"/>
      <c r="P104" s="10"/>
      <c r="Q104" s="10"/>
      <c r="R104" s="10"/>
    </row>
    <row r="105" spans="1:18" x14ac:dyDescent="0.25">
      <c r="B105" s="10">
        <f>SUM(B93:B103)</f>
        <v>10150.33547842866</v>
      </c>
      <c r="C105" s="10">
        <f t="shared" ref="C105:G105" si="58">SUM(C93:C103)</f>
        <v>10800</v>
      </c>
      <c r="D105" s="10">
        <f t="shared" si="58"/>
        <v>649.66452157134086</v>
      </c>
      <c r="E105" s="10">
        <f t="shared" si="58"/>
        <v>7286.5306702108255</v>
      </c>
      <c r="F105" s="10">
        <f t="shared" si="58"/>
        <v>7306.8025220163181</v>
      </c>
      <c r="G105" s="10">
        <f t="shared" si="58"/>
        <v>20.271851805492872</v>
      </c>
      <c r="H105" s="10">
        <f>G105/(1-(1/(1+$B$1))^(A103))</f>
        <v>41.232223367504226</v>
      </c>
      <c r="L105" s="10"/>
      <c r="M105" s="10"/>
      <c r="N105" s="10"/>
      <c r="O105" s="10"/>
      <c r="P105" s="10"/>
      <c r="Q105" s="10"/>
      <c r="R105" s="10"/>
    </row>
    <row r="106" spans="1:18" x14ac:dyDescent="0.25">
      <c r="B106" s="10" t="s">
        <v>104</v>
      </c>
      <c r="C106" s="10">
        <v>1843.033547842866</v>
      </c>
      <c r="D106" s="10"/>
      <c r="E106" s="10"/>
      <c r="F106" s="10"/>
      <c r="G106" s="10"/>
      <c r="H106" s="10"/>
      <c r="L106" s="10"/>
      <c r="M106" s="10"/>
      <c r="N106" s="10"/>
      <c r="O106" s="10"/>
      <c r="P106" s="10"/>
      <c r="Q106" s="10"/>
      <c r="R106" s="10"/>
    </row>
    <row r="107" spans="1:18" x14ac:dyDescent="0.25">
      <c r="A107" s="6" t="s">
        <v>77</v>
      </c>
      <c r="B107" s="10"/>
      <c r="C107" s="10"/>
      <c r="D107" s="10"/>
      <c r="E107" s="10"/>
      <c r="F107" s="10"/>
      <c r="G107" s="10"/>
      <c r="H107" s="10"/>
      <c r="L107" s="10"/>
      <c r="M107" s="10"/>
      <c r="N107" s="10"/>
      <c r="O107" s="10"/>
      <c r="P107" s="10"/>
      <c r="Q107" s="10"/>
      <c r="R107" s="10"/>
    </row>
    <row r="108" spans="1:18" x14ac:dyDescent="0.25">
      <c r="A108" s="6" t="s">
        <v>78</v>
      </c>
      <c r="B108" s="10" t="s">
        <v>107</v>
      </c>
      <c r="C108" s="10" t="s">
        <v>98</v>
      </c>
      <c r="D108" s="10" t="s">
        <v>99</v>
      </c>
      <c r="E108" s="10" t="s">
        <v>100</v>
      </c>
      <c r="F108" s="10" t="s">
        <v>101</v>
      </c>
      <c r="G108" s="10" t="s">
        <v>102</v>
      </c>
      <c r="H108" s="10"/>
      <c r="L108" s="10"/>
      <c r="M108" s="10"/>
      <c r="N108" s="10"/>
      <c r="O108" s="10"/>
      <c r="P108" s="10"/>
      <c r="Q108" s="10"/>
      <c r="R108" s="10"/>
    </row>
    <row r="109" spans="1:18" x14ac:dyDescent="0.25">
      <c r="A109" s="6">
        <v>0</v>
      </c>
      <c r="B109" s="10">
        <v>1241.0517070707067</v>
      </c>
      <c r="C109" s="10">
        <v>0</v>
      </c>
      <c r="D109" s="10">
        <f>C109-B109</f>
        <v>-1241.0517070707067</v>
      </c>
      <c r="E109" s="10">
        <f>B109/(1+$B$1)^$A109</f>
        <v>1241.0517070707067</v>
      </c>
      <c r="F109" s="10">
        <f>C109/(1+$B$1)^$A109</f>
        <v>0</v>
      </c>
      <c r="G109" s="10">
        <f>F109-E109</f>
        <v>-1241.0517070707067</v>
      </c>
      <c r="H109" s="10"/>
      <c r="L109" s="10"/>
      <c r="M109" s="10"/>
      <c r="N109" s="10"/>
      <c r="O109" s="10"/>
      <c r="P109" s="10"/>
      <c r="Q109" s="10"/>
      <c r="R109" s="10"/>
    </row>
    <row r="110" spans="1:18" x14ac:dyDescent="0.25">
      <c r="A110" s="6">
        <v>1</v>
      </c>
      <c r="B110" s="10">
        <v>88.968222222222209</v>
      </c>
      <c r="C110" s="10">
        <v>0</v>
      </c>
      <c r="D110" s="10">
        <f>C110-B110</f>
        <v>-88.968222222222209</v>
      </c>
      <c r="E110" s="10">
        <f>B110/(1+$B$1)^$A110</f>
        <v>83.147871235721681</v>
      </c>
      <c r="F110" s="10">
        <f t="shared" ref="F110:F112" si="59">C110/(1+$B$1)^$A110</f>
        <v>0</v>
      </c>
      <c r="G110" s="10">
        <f>F110-E110</f>
        <v>-83.147871235721681</v>
      </c>
      <c r="H110" s="10"/>
      <c r="L110" s="10"/>
      <c r="M110" s="10"/>
      <c r="N110" s="10"/>
      <c r="O110" s="10"/>
      <c r="P110" s="10"/>
      <c r="Q110" s="10"/>
      <c r="R110" s="10"/>
    </row>
    <row r="111" spans="1:18" x14ac:dyDescent="0.25">
      <c r="A111" s="6">
        <v>2</v>
      </c>
      <c r="B111" s="10">
        <v>978.55909313833445</v>
      </c>
      <c r="C111" s="10">
        <f>Työkaluvälilehti!$B$12*(A111-A110)*Työkaluvälilehti!$B$5</f>
        <v>960</v>
      </c>
      <c r="D111" s="10">
        <f t="shared" ref="D111:D112" si="60">C111-B111</f>
        <v>-18.559093138334447</v>
      </c>
      <c r="E111" s="10">
        <f>B111/(1+$B$1)^$A111</f>
        <v>854.71140985093405</v>
      </c>
      <c r="F111" s="10">
        <f>C111/(1+$B$1)^$A111</f>
        <v>838.50117914228315</v>
      </c>
      <c r="G111" s="10">
        <f t="shared" ref="G111" si="61">F111-E111</f>
        <v>-16.210230708650897</v>
      </c>
      <c r="H111" s="10"/>
      <c r="L111" s="10"/>
      <c r="M111" s="10"/>
      <c r="N111" s="10"/>
      <c r="O111" s="10"/>
      <c r="P111" s="10"/>
      <c r="Q111" s="10"/>
      <c r="R111" s="10"/>
    </row>
    <row r="112" spans="1:18" x14ac:dyDescent="0.25">
      <c r="A112" s="6">
        <v>3</v>
      </c>
      <c r="B112" s="10">
        <v>978.55909313833445</v>
      </c>
      <c r="C112" s="10">
        <f>Työkaluvälilehti!$B$12*(A112-A111)*Työkaluvälilehti!$B$5</f>
        <v>960</v>
      </c>
      <c r="D112" s="10">
        <f t="shared" si="60"/>
        <v>-18.559093138334447</v>
      </c>
      <c r="E112" s="10">
        <f t="shared" ref="E112" si="62">B112/(1+$B$1)^$A112</f>
        <v>798.79571014105989</v>
      </c>
      <c r="F112" s="10">
        <f t="shared" si="59"/>
        <v>783.6459618152179</v>
      </c>
      <c r="G112" s="10">
        <f>F112-E112</f>
        <v>-15.149748325841983</v>
      </c>
      <c r="H112" s="10"/>
      <c r="L112" s="10"/>
      <c r="M112" s="10"/>
      <c r="N112" s="10"/>
      <c r="O112" s="10"/>
      <c r="P112" s="10"/>
      <c r="Q112" s="10"/>
      <c r="R112" s="10"/>
    </row>
    <row r="113" spans="1:18" x14ac:dyDescent="0.25">
      <c r="A113" s="6">
        <v>4</v>
      </c>
      <c r="B113" s="10">
        <v>978.55909313833445</v>
      </c>
      <c r="C113" s="10">
        <f>Työkaluvälilehti!$B$12*(A113-A112)*Työkaluvälilehti!$B$5</f>
        <v>960</v>
      </c>
      <c r="D113" s="10">
        <f>C113-B113</f>
        <v>-18.559093138334447</v>
      </c>
      <c r="E113" s="10">
        <f t="shared" ref="E113:F115" si="63">B113/(1+$B$1)^$A113</f>
        <v>746.53804686080366</v>
      </c>
      <c r="F113" s="10">
        <f t="shared" si="63"/>
        <v>732.37940356562422</v>
      </c>
      <c r="G113" s="10">
        <f>F113-E113</f>
        <v>-14.158643295179445</v>
      </c>
      <c r="H113" s="10"/>
      <c r="L113" s="10"/>
      <c r="M113" s="10"/>
      <c r="N113" s="10"/>
      <c r="O113" s="10"/>
      <c r="P113" s="10"/>
      <c r="Q113" s="10"/>
      <c r="R113" s="10"/>
    </row>
    <row r="114" spans="1:18" x14ac:dyDescent="0.25">
      <c r="A114" s="6">
        <v>5</v>
      </c>
      <c r="B114" s="10">
        <v>978.55909313833445</v>
      </c>
      <c r="C114" s="10">
        <f>Työkaluvälilehti!$B$12*(A114-A113)*Työkaluvälilehti!$B$5</f>
        <v>960</v>
      </c>
      <c r="D114" s="10">
        <f>C114-B114</f>
        <v>-18.559093138334447</v>
      </c>
      <c r="E114" s="10">
        <f t="shared" si="63"/>
        <v>697.69910921570431</v>
      </c>
      <c r="F114" s="10">
        <f t="shared" si="63"/>
        <v>684.46673230432157</v>
      </c>
      <c r="G114" s="10">
        <f>F114-E114</f>
        <v>-13.232376911382744</v>
      </c>
      <c r="H114" s="10"/>
      <c r="L114" s="10"/>
      <c r="M114" s="10"/>
      <c r="N114" s="10"/>
      <c r="O114" s="10"/>
      <c r="P114" s="10"/>
      <c r="Q114" s="10"/>
      <c r="R114" s="10"/>
    </row>
    <row r="115" spans="1:18" x14ac:dyDescent="0.25">
      <c r="A115" s="6">
        <v>6</v>
      </c>
      <c r="B115" s="10">
        <v>978.55909313833445</v>
      </c>
      <c r="C115" s="10">
        <f>Työkaluvälilehti!$B$12*(A115-A114)*Työkaluvälilehti!$B$5</f>
        <v>960</v>
      </c>
      <c r="D115" s="10">
        <f>C115-B115</f>
        <v>-18.559093138334447</v>
      </c>
      <c r="E115" s="10">
        <f t="shared" si="63"/>
        <v>652.0552422576676</v>
      </c>
      <c r="F115" s="10">
        <f t="shared" si="63"/>
        <v>639.68853486385206</v>
      </c>
      <c r="G115" s="10">
        <f>F115-E115</f>
        <v>-12.366707393815545</v>
      </c>
      <c r="H115" s="10"/>
      <c r="L115" s="10"/>
      <c r="M115" s="10"/>
      <c r="N115" s="10"/>
      <c r="O115" s="10"/>
      <c r="P115" s="10"/>
      <c r="Q115" s="10"/>
      <c r="R115" s="10"/>
    </row>
    <row r="116" spans="1:18" x14ac:dyDescent="0.25">
      <c r="A116" s="6">
        <v>7</v>
      </c>
      <c r="B116" s="10">
        <v>978.55909313833445</v>
      </c>
      <c r="C116" s="10">
        <f>Työkaluvälilehti!$B$12*(A116-A115)*Työkaluvälilehti!$B$5</f>
        <v>960</v>
      </c>
      <c r="D116" s="10">
        <f t="shared" ref="D116:D117" si="64">C116-B116</f>
        <v>-18.559093138334447</v>
      </c>
      <c r="E116" s="10">
        <f>B116/(1+$B$1)^$A116</f>
        <v>609.39742267071733</v>
      </c>
      <c r="F116" s="10">
        <f t="shared" ref="F116:F118" si="65">C116/(1+$B$1)^$A116</f>
        <v>597.83975220920752</v>
      </c>
      <c r="G116" s="10">
        <f>F116-E116</f>
        <v>-11.557670461509815</v>
      </c>
      <c r="H116" s="10"/>
      <c r="L116" s="10"/>
      <c r="M116" s="10"/>
      <c r="N116" s="10"/>
      <c r="O116" s="10"/>
      <c r="P116" s="10"/>
      <c r="Q116" s="10"/>
      <c r="R116" s="10"/>
    </row>
    <row r="117" spans="1:18" x14ac:dyDescent="0.25">
      <c r="A117" s="6">
        <v>8</v>
      </c>
      <c r="B117" s="10">
        <v>978.55909313833445</v>
      </c>
      <c r="C117" s="10">
        <f>Työkaluvälilehti!$B$12*(A117-A116)*Työkaluvälilehti!$B$5</f>
        <v>960</v>
      </c>
      <c r="D117" s="10">
        <f t="shared" si="64"/>
        <v>-18.559093138334447</v>
      </c>
      <c r="E117" s="10">
        <f t="shared" ref="E117" si="66">B117/(1+$B$1)^$A117</f>
        <v>569.53030156141813</v>
      </c>
      <c r="F117" s="10">
        <f t="shared" si="65"/>
        <v>558.72874038243685</v>
      </c>
      <c r="G117" s="10">
        <f t="shared" ref="G117:G118" si="67">F117-E117</f>
        <v>-10.801561178981274</v>
      </c>
      <c r="H117" s="10"/>
      <c r="L117" s="10"/>
      <c r="M117" s="10"/>
      <c r="N117" s="10"/>
      <c r="O117" s="10"/>
      <c r="P117" s="10"/>
      <c r="Q117" s="10"/>
      <c r="R117" s="10"/>
    </row>
    <row r="118" spans="1:18" x14ac:dyDescent="0.25">
      <c r="A118" s="6">
        <v>9</v>
      </c>
      <c r="B118" s="10">
        <v>978.55909313833445</v>
      </c>
      <c r="C118" s="10">
        <f>Työkaluvälilehti!$B$12*(A118-A117)*Työkaluvälilehti!$B$5</f>
        <v>960</v>
      </c>
      <c r="D118" s="10">
        <f>C118-B118</f>
        <v>-18.559093138334447</v>
      </c>
      <c r="E118" s="10">
        <f>B118/(1+$B$1)^$A118</f>
        <v>532.27130987048417</v>
      </c>
      <c r="F118" s="10">
        <f t="shared" si="65"/>
        <v>522.17639288078203</v>
      </c>
      <c r="G118" s="10">
        <f t="shared" si="67"/>
        <v>-10.094916989702142</v>
      </c>
      <c r="H118" s="10"/>
      <c r="L118" s="10"/>
      <c r="M118" s="10"/>
      <c r="N118" s="10"/>
      <c r="O118" s="10"/>
      <c r="P118" s="10"/>
      <c r="Q118" s="10"/>
      <c r="R118" s="10"/>
    </row>
    <row r="119" spans="1:18" x14ac:dyDescent="0.25">
      <c r="A119" s="6">
        <v>10</v>
      </c>
      <c r="B119" s="10">
        <v>1008.9054497274817</v>
      </c>
      <c r="C119" s="10">
        <f>Työkaluvälilehti!$B$12*(A119-A118)*Työkaluvälilehti!$B$5</f>
        <v>960</v>
      </c>
      <c r="D119" s="10">
        <f>C119-B119</f>
        <v>-48.905449727481709</v>
      </c>
      <c r="E119" s="10">
        <f>B119/(1+$B$1)^$A119</f>
        <v>512.87637119982446</v>
      </c>
      <c r="F119" s="10">
        <f>C119/(1+$B$1)^$A119</f>
        <v>488.01532044932907</v>
      </c>
      <c r="G119" s="10">
        <f>F119-E119</f>
        <v>-24.861050750495394</v>
      </c>
      <c r="H119" s="10"/>
      <c r="L119" s="10"/>
      <c r="M119" s="10"/>
      <c r="N119" s="10"/>
      <c r="O119" s="10"/>
      <c r="P119" s="10"/>
      <c r="Q119" s="10"/>
      <c r="R119" s="10"/>
    </row>
    <row r="120" spans="1:18" x14ac:dyDescent="0.25">
      <c r="A120" s="6" t="s">
        <v>103</v>
      </c>
      <c r="B120" s="10" t="s">
        <v>107</v>
      </c>
      <c r="C120" s="10" t="s">
        <v>98</v>
      </c>
      <c r="D120" s="10" t="s">
        <v>99</v>
      </c>
      <c r="E120" s="10" t="s">
        <v>100</v>
      </c>
      <c r="F120" s="10" t="s">
        <v>101</v>
      </c>
      <c r="G120" s="10" t="s">
        <v>102</v>
      </c>
      <c r="H120" s="10" t="s">
        <v>83</v>
      </c>
      <c r="L120" s="10"/>
      <c r="M120" s="10"/>
      <c r="N120" s="10"/>
      <c r="O120" s="10"/>
      <c r="P120" s="10"/>
      <c r="Q120" s="10"/>
      <c r="R120" s="10"/>
    </row>
    <row r="121" spans="1:18" x14ac:dyDescent="0.25">
      <c r="B121" s="10">
        <f>SUM(B109:B119)</f>
        <v>10167.398124127083</v>
      </c>
      <c r="C121" s="10">
        <f t="shared" ref="C121:G121" si="68">SUM(C109:C119)</f>
        <v>8640</v>
      </c>
      <c r="D121" s="10">
        <f t="shared" si="68"/>
        <v>-1527.3981241270862</v>
      </c>
      <c r="E121" s="10">
        <f t="shared" si="68"/>
        <v>7298.0745019350416</v>
      </c>
      <c r="F121" s="10">
        <f t="shared" si="68"/>
        <v>5845.4420176130543</v>
      </c>
      <c r="G121" s="10">
        <f t="shared" si="68"/>
        <v>-1452.6324843219877</v>
      </c>
      <c r="H121" s="10">
        <f>G121/(1-(1/(1+$B$1))^(A119))</f>
        <v>-2954.6026499773207</v>
      </c>
      <c r="L121" s="10"/>
      <c r="M121" s="10"/>
      <c r="N121" s="10"/>
      <c r="O121" s="10"/>
      <c r="P121" s="10"/>
      <c r="Q121" s="10"/>
      <c r="R121" s="10"/>
    </row>
    <row r="122" spans="1:18" x14ac:dyDescent="0.25">
      <c r="B122" s="10" t="s">
        <v>104</v>
      </c>
      <c r="C122" s="10">
        <v>1844.739812412708</v>
      </c>
      <c r="D122" s="10"/>
      <c r="E122" s="10"/>
      <c r="F122" s="10"/>
      <c r="G122" s="10"/>
      <c r="H122" s="10"/>
      <c r="L122" s="10"/>
      <c r="M122" s="10"/>
      <c r="N122" s="10"/>
      <c r="O122" s="10"/>
      <c r="P122" s="10"/>
      <c r="Q122" s="10"/>
      <c r="R122" s="10"/>
    </row>
    <row r="123" spans="1:18" x14ac:dyDescent="0.25">
      <c r="A123" s="6" t="s">
        <v>11</v>
      </c>
      <c r="B123" s="10"/>
      <c r="C123" s="10"/>
      <c r="D123" s="10"/>
      <c r="E123" s="10"/>
      <c r="F123" s="10"/>
      <c r="G123" s="10"/>
      <c r="H123" s="10"/>
      <c r="L123" s="10"/>
      <c r="M123" s="10"/>
      <c r="N123" s="10"/>
      <c r="O123" s="10"/>
      <c r="P123" s="10"/>
      <c r="Q123" s="10"/>
      <c r="R123" s="10"/>
    </row>
    <row r="124" spans="1:18" x14ac:dyDescent="0.25">
      <c r="A124" s="6" t="s">
        <v>78</v>
      </c>
      <c r="B124" s="10" t="s">
        <v>107</v>
      </c>
      <c r="C124" s="10" t="s">
        <v>98</v>
      </c>
      <c r="D124" s="10" t="s">
        <v>99</v>
      </c>
      <c r="E124" s="10" t="s">
        <v>100</v>
      </c>
      <c r="F124" s="10" t="s">
        <v>101</v>
      </c>
      <c r="G124" s="10" t="s">
        <v>102</v>
      </c>
      <c r="H124" s="10"/>
      <c r="L124" s="10"/>
      <c r="M124" s="10"/>
      <c r="N124" s="10"/>
      <c r="O124" s="10"/>
      <c r="P124" s="10"/>
      <c r="Q124" s="10"/>
      <c r="R124" s="10"/>
    </row>
    <row r="125" spans="1:18" x14ac:dyDescent="0.25">
      <c r="A125" s="6">
        <v>0</v>
      </c>
      <c r="B125" s="10">
        <v>964.17833333333328</v>
      </c>
      <c r="C125" s="10">
        <v>0</v>
      </c>
      <c r="D125" s="10">
        <f>C125-B125</f>
        <v>-964.17833333333328</v>
      </c>
      <c r="E125" s="10">
        <f>B125/(1+$B$1)^$A125</f>
        <v>964.17833333333328</v>
      </c>
      <c r="F125" s="10">
        <f>C125/(1+$B$1)^$A125</f>
        <v>0</v>
      </c>
      <c r="G125" s="10">
        <f>F125-E125</f>
        <v>-964.17833333333328</v>
      </c>
      <c r="H125" s="10"/>
      <c r="L125" s="10"/>
      <c r="M125" s="10"/>
      <c r="N125" s="10"/>
      <c r="O125" s="10"/>
      <c r="P125" s="10"/>
      <c r="Q125" s="10"/>
      <c r="R125" s="10"/>
    </row>
    <row r="126" spans="1:18" x14ac:dyDescent="0.25">
      <c r="A126" s="6">
        <v>1</v>
      </c>
      <c r="B126" s="10">
        <v>685.90959595959589</v>
      </c>
      <c r="C126" s="10">
        <v>0</v>
      </c>
      <c r="D126" s="10">
        <f>C126-B126</f>
        <v>-685.90959595959589</v>
      </c>
      <c r="E126" s="10">
        <f>B126/(1+$B$1)^$A126</f>
        <v>641.0370055697158</v>
      </c>
      <c r="F126" s="10">
        <f t="shared" ref="F126:F128" si="69">C126/(1+$B$1)^$A126</f>
        <v>0</v>
      </c>
      <c r="G126" s="10">
        <f>F126-E126</f>
        <v>-641.0370055697158</v>
      </c>
      <c r="H126" s="10"/>
      <c r="L126" s="10"/>
      <c r="M126" s="10"/>
      <c r="N126" s="10"/>
      <c r="O126" s="10"/>
      <c r="P126" s="10"/>
      <c r="Q126" s="10"/>
      <c r="R126" s="10"/>
    </row>
    <row r="127" spans="1:18" x14ac:dyDescent="0.25">
      <c r="A127" s="6">
        <v>2</v>
      </c>
      <c r="B127" s="10">
        <v>1276.4018032045042</v>
      </c>
      <c r="C127" s="10">
        <f>Työkaluvälilehti!$B$13*(A127-A126)*Työkaluvälilehti!$B$6</f>
        <v>1500</v>
      </c>
      <c r="D127" s="10">
        <f t="shared" ref="D127:D128" si="70">C127-B127</f>
        <v>223.59819679549582</v>
      </c>
      <c r="E127" s="10">
        <f>B127/(1+$B$1)^$A127</f>
        <v>1114.8587677565763</v>
      </c>
      <c r="F127" s="10">
        <f>C127/(1+$B$1)^$A127</f>
        <v>1310.1580924098175</v>
      </c>
      <c r="G127" s="10">
        <f>F127-E127</f>
        <v>195.29932465324123</v>
      </c>
      <c r="H127" s="10"/>
      <c r="L127" s="10"/>
      <c r="M127" s="10"/>
      <c r="N127" s="10"/>
      <c r="O127" s="10"/>
      <c r="P127" s="10"/>
      <c r="Q127" s="10"/>
      <c r="R127" s="10"/>
    </row>
    <row r="128" spans="1:18" x14ac:dyDescent="0.25">
      <c r="A128" s="6">
        <v>3</v>
      </c>
      <c r="B128" s="10">
        <v>1276.4018032045042</v>
      </c>
      <c r="C128" s="10">
        <f>Työkaluvälilehti!$B$13*(A128-A127)*Työkaluvälilehti!$B$6</f>
        <v>1500</v>
      </c>
      <c r="D128" s="10">
        <f t="shared" si="70"/>
        <v>223.59819679549582</v>
      </c>
      <c r="E128" s="10">
        <f t="shared" ref="E128" si="71">B128/(1+$B$1)^$A128</f>
        <v>1041.9240820154916</v>
      </c>
      <c r="F128" s="10">
        <f t="shared" si="69"/>
        <v>1224.446815336278</v>
      </c>
      <c r="G128" s="10">
        <f t="shared" ref="G128" si="72">F128-E128</f>
        <v>182.5227333207863</v>
      </c>
      <c r="H128" s="10"/>
      <c r="L128" s="10"/>
      <c r="M128" s="10"/>
      <c r="N128" s="10"/>
      <c r="O128" s="10"/>
      <c r="P128" s="10"/>
      <c r="Q128" s="10"/>
      <c r="R128" s="10"/>
    </row>
    <row r="129" spans="1:18" x14ac:dyDescent="0.25">
      <c r="A129" s="6">
        <v>4</v>
      </c>
      <c r="B129" s="10">
        <v>1276.4018032045042</v>
      </c>
      <c r="C129" s="10">
        <f>Työkaluvälilehti!$B$13*(A129-A128)*Työkaluvälilehti!$B$6</f>
        <v>1500</v>
      </c>
      <c r="D129" s="10">
        <f>C129-B129</f>
        <v>223.59819679549582</v>
      </c>
      <c r="E129" s="10">
        <f t="shared" ref="E129:F132" si="73">B129/(1+$B$1)^$A129</f>
        <v>973.76082431354382</v>
      </c>
      <c r="F129" s="10">
        <f t="shared" si="73"/>
        <v>1144.3428180712879</v>
      </c>
      <c r="G129" s="10">
        <f>F129-E129</f>
        <v>170.58199375774404</v>
      </c>
      <c r="H129" s="10"/>
      <c r="L129" s="10"/>
      <c r="M129" s="10"/>
      <c r="N129" s="10"/>
      <c r="O129" s="10"/>
      <c r="P129" s="10"/>
      <c r="Q129" s="10"/>
      <c r="R129" s="10"/>
    </row>
    <row r="130" spans="1:18" x14ac:dyDescent="0.25">
      <c r="A130" s="6">
        <v>5</v>
      </c>
      <c r="B130" s="10">
        <v>1802.0945163827987</v>
      </c>
      <c r="C130" s="10">
        <f>Työkaluvälilehti!$B$13*(A130-A129)*Työkaluvälilehti!$B$6</f>
        <v>1500</v>
      </c>
      <c r="D130" s="10">
        <f>C130-B130</f>
        <v>-302.0945163827987</v>
      </c>
      <c r="E130" s="10">
        <f t="shared" si="73"/>
        <v>1284.8684843042406</v>
      </c>
      <c r="F130" s="10">
        <f t="shared" si="73"/>
        <v>1069.4792692255025</v>
      </c>
      <c r="G130" s="10">
        <f>F130-E130</f>
        <v>-215.38921507873806</v>
      </c>
      <c r="H130" s="10"/>
      <c r="L130" s="10"/>
      <c r="M130" s="10"/>
      <c r="N130" s="10"/>
      <c r="O130" s="10"/>
      <c r="P130" s="10"/>
      <c r="Q130" s="10"/>
      <c r="R130" s="10"/>
    </row>
    <row r="131" spans="1:18" x14ac:dyDescent="0.25">
      <c r="A131" s="6">
        <v>6</v>
      </c>
      <c r="B131" s="10">
        <v>1276.4018032045042</v>
      </c>
      <c r="C131" s="10">
        <f>Työkaluvälilehti!$B$13*(A131-A130)*Työkaluvälilehti!$B$6</f>
        <v>1500</v>
      </c>
      <c r="D131" s="10">
        <f>C131-B131</f>
        <v>223.59819679549582</v>
      </c>
      <c r="E131" s="10">
        <f t="shared" si="73"/>
        <v>850.52041603069586</v>
      </c>
      <c r="F131" s="10">
        <f t="shared" si="73"/>
        <v>999.51333572476881</v>
      </c>
      <c r="G131" s="10">
        <f>F131-E131</f>
        <v>148.99291969407295</v>
      </c>
      <c r="H131" s="10"/>
      <c r="L131" s="10"/>
      <c r="M131" s="10"/>
      <c r="N131" s="10"/>
      <c r="O131" s="10"/>
      <c r="P131" s="10"/>
      <c r="Q131" s="10"/>
      <c r="R131" s="10"/>
    </row>
    <row r="132" spans="1:18" x14ac:dyDescent="0.25">
      <c r="A132" s="6">
        <v>7</v>
      </c>
      <c r="B132" s="10">
        <v>1276.4018032045042</v>
      </c>
      <c r="C132" s="10">
        <f>Työkaluvälilehti!$B$13*(A132-A131)*Työkaluvälilehti!$B$6</f>
        <v>1500</v>
      </c>
      <c r="D132" s="10">
        <f t="shared" ref="D132:D133" si="74">C132-B132</f>
        <v>223.59819679549582</v>
      </c>
      <c r="E132" s="10">
        <f t="shared" si="73"/>
        <v>794.87889348663168</v>
      </c>
      <c r="F132" s="10">
        <f t="shared" si="73"/>
        <v>934.12461282688662</v>
      </c>
      <c r="G132" s="10">
        <f>F132-E132</f>
        <v>139.24571934025494</v>
      </c>
      <c r="H132" s="10"/>
      <c r="L132" s="10"/>
      <c r="M132" s="10"/>
      <c r="N132" s="10"/>
      <c r="O132" s="10"/>
      <c r="P132" s="10"/>
      <c r="Q132" s="10"/>
      <c r="R132" s="10"/>
    </row>
    <row r="133" spans="1:18" x14ac:dyDescent="0.25">
      <c r="A133" s="6">
        <v>8</v>
      </c>
      <c r="B133" s="10">
        <v>1276.4018032045042</v>
      </c>
      <c r="C133" s="10">
        <f>Työkaluvälilehti!$B$13*(A133-A132)*Työkaluvälilehti!$B$6</f>
        <v>1500</v>
      </c>
      <c r="D133" s="10">
        <f t="shared" si="74"/>
        <v>223.59819679549582</v>
      </c>
      <c r="E133" s="10">
        <f t="shared" ref="E133" si="75">B133/(1+$B$1)^$A133</f>
        <v>742.87747054825388</v>
      </c>
      <c r="F133" s="10">
        <f>C133/(1+$B$1)^$A133</f>
        <v>873.01365684755763</v>
      </c>
      <c r="G133" s="10">
        <f t="shared" ref="G133:G134" si="76">F133-E133</f>
        <v>130.13618629930374</v>
      </c>
      <c r="H133" s="10"/>
      <c r="L133" s="10"/>
      <c r="M133" s="10"/>
      <c r="N133" s="10"/>
      <c r="O133" s="10"/>
      <c r="P133" s="10"/>
      <c r="Q133" s="10"/>
      <c r="R133" s="10"/>
    </row>
    <row r="134" spans="1:18" x14ac:dyDescent="0.25">
      <c r="A134" s="6">
        <v>9</v>
      </c>
      <c r="B134" s="10">
        <v>1276.4018032045042</v>
      </c>
      <c r="C134" s="10">
        <f>Työkaluvälilehti!$B$13*(A134-A133)*Työkaluvälilehti!$B$6</f>
        <v>1500</v>
      </c>
      <c r="D134" s="10">
        <f>C134-B134</f>
        <v>223.59819679549582</v>
      </c>
      <c r="E134" s="10">
        <f>B134/(1+$B$1)^$A134</f>
        <v>694.27800985818112</v>
      </c>
      <c r="F134" s="10">
        <f>C134/(1+$B$1)^$A134</f>
        <v>815.900613876222</v>
      </c>
      <c r="G134" s="10">
        <f t="shared" si="76"/>
        <v>121.62260401804087</v>
      </c>
      <c r="H134" s="10"/>
      <c r="L134" s="10"/>
      <c r="M134" s="10"/>
      <c r="N134" s="10"/>
      <c r="O134" s="10"/>
      <c r="P134" s="10"/>
      <c r="Q134" s="10"/>
      <c r="R134" s="10"/>
    </row>
    <row r="135" spans="1:18" x14ac:dyDescent="0.25">
      <c r="A135" s="6">
        <v>10</v>
      </c>
      <c r="B135" s="10">
        <v>651.18492042320304</v>
      </c>
      <c r="C135" s="10">
        <f>Työkaluvälilehti!$B$13*(A135-A134)*Työkaluvälilehti!$B$6</f>
        <v>1500</v>
      </c>
      <c r="D135" s="10">
        <f>C135-B135</f>
        <v>848.81507957679696</v>
      </c>
      <c r="E135" s="10">
        <f>B135/(1+$B$1)^$A135</f>
        <v>331.02939334593782</v>
      </c>
      <c r="F135" s="10">
        <f>C135/(1+$B$1)^$A135</f>
        <v>762.52393820207669</v>
      </c>
      <c r="G135" s="10">
        <f>F135-E135</f>
        <v>431.49454485613887</v>
      </c>
      <c r="H135" s="10"/>
      <c r="L135" s="10"/>
      <c r="M135" s="10"/>
      <c r="N135" s="10"/>
      <c r="O135" s="10"/>
      <c r="P135" s="10"/>
      <c r="Q135" s="10"/>
      <c r="R135" s="10"/>
    </row>
    <row r="136" spans="1:18" x14ac:dyDescent="0.25">
      <c r="A136" s="6" t="s">
        <v>103</v>
      </c>
      <c r="B136" s="10" t="s">
        <v>107</v>
      </c>
      <c r="C136" s="10" t="s">
        <v>98</v>
      </c>
      <c r="D136" s="10" t="s">
        <v>99</v>
      </c>
      <c r="E136" s="10" t="s">
        <v>100</v>
      </c>
      <c r="F136" s="10" t="s">
        <v>101</v>
      </c>
      <c r="G136" s="10" t="s">
        <v>102</v>
      </c>
      <c r="H136" s="10" t="s">
        <v>83</v>
      </c>
      <c r="L136" s="10"/>
      <c r="M136" s="10"/>
      <c r="N136" s="10"/>
      <c r="O136" s="10"/>
      <c r="P136" s="10"/>
      <c r="Q136" s="10"/>
      <c r="R136" s="10"/>
    </row>
    <row r="137" spans="1:18" x14ac:dyDescent="0.25">
      <c r="B137" s="10">
        <f>SUM(B125:B135)</f>
        <v>13038.179988530461</v>
      </c>
      <c r="C137" s="10">
        <f t="shared" ref="C137:F137" si="77">SUM(C125:C135)</f>
        <v>13500</v>
      </c>
      <c r="D137" s="10">
        <f t="shared" si="77"/>
        <v>461.82001146953985</v>
      </c>
      <c r="E137" s="10">
        <f t="shared" si="77"/>
        <v>9434.2116805626029</v>
      </c>
      <c r="F137" s="10">
        <f t="shared" si="77"/>
        <v>9133.5031525203976</v>
      </c>
      <c r="G137" s="10">
        <f>SUM(G125:G135)</f>
        <v>-300.70852804220408</v>
      </c>
      <c r="H137" s="10">
        <f>G137/(1-(1/(1+$B$1))^(A135))</f>
        <v>-611.63041816386794</v>
      </c>
      <c r="L137" s="10"/>
      <c r="M137" s="10"/>
      <c r="N137" s="10"/>
      <c r="O137" s="10"/>
      <c r="P137" s="10"/>
      <c r="Q137" s="10"/>
      <c r="R137" s="10"/>
    </row>
  </sheetData>
  <sheetProtection selectLockedCells="1" selectUnlockedCells="1"/>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598239-53CC-4283-BA7E-4355CC90CCE3}">
  <dimension ref="A1:W137"/>
  <sheetViews>
    <sheetView workbookViewId="0">
      <selection activeCell="K5" sqref="K5:K29"/>
    </sheetView>
  </sheetViews>
  <sheetFormatPr defaultColWidth="4.7109375" defaultRowHeight="15" x14ac:dyDescent="0.25"/>
  <cols>
    <col min="1" max="1" width="4.85546875" style="6" bestFit="1" customWidth="1"/>
    <col min="2" max="6" width="6" style="6" bestFit="1" customWidth="1"/>
    <col min="7" max="8" width="5.85546875" style="6" bestFit="1" customWidth="1"/>
    <col min="9" max="9" width="6.140625" style="6" customWidth="1"/>
    <col min="10" max="10" width="4.7109375" style="6"/>
    <col min="11" max="11" width="8.42578125" style="6" customWidth="1"/>
    <col min="12" max="16384" width="4.7109375" style="6"/>
  </cols>
  <sheetData>
    <row r="1" spans="1:23" x14ac:dyDescent="0.25">
      <c r="A1" s="6" t="s">
        <v>94</v>
      </c>
      <c r="B1" s="6">
        <v>0.06</v>
      </c>
    </row>
    <row r="3" spans="1:23" x14ac:dyDescent="0.25">
      <c r="A3" s="6" t="s">
        <v>95</v>
      </c>
    </row>
    <row r="4" spans="1:23" x14ac:dyDescent="0.25">
      <c r="A4" s="6" t="s">
        <v>78</v>
      </c>
      <c r="B4" s="6" t="s">
        <v>96</v>
      </c>
      <c r="C4" s="6" t="s">
        <v>97</v>
      </c>
      <c r="D4" s="6" t="s">
        <v>98</v>
      </c>
      <c r="E4" s="6" t="s">
        <v>99</v>
      </c>
      <c r="F4" s="6" t="s">
        <v>100</v>
      </c>
      <c r="G4" s="6" t="s">
        <v>101</v>
      </c>
      <c r="H4" s="6" t="s">
        <v>102</v>
      </c>
      <c r="T4" s="10"/>
      <c r="U4" s="10"/>
    </row>
    <row r="5" spans="1:23" x14ac:dyDescent="0.25">
      <c r="A5" s="6">
        <v>0</v>
      </c>
      <c r="B5" s="10">
        <v>2623.0520000000001</v>
      </c>
      <c r="C5" s="6">
        <v>0</v>
      </c>
      <c r="D5" s="10">
        <v>0</v>
      </c>
      <c r="E5" s="10">
        <f>D5-B5-C5</f>
        <v>-2623.0520000000001</v>
      </c>
      <c r="F5" s="10">
        <f>B5/(1+$B$1)^$A5+C5/(1+$B$1)^$A5</f>
        <v>2623.0520000000001</v>
      </c>
      <c r="G5" s="10">
        <f t="shared" ref="G5:G12" si="0">D5/(1+$B$1)^$A5</f>
        <v>0</v>
      </c>
      <c r="H5" s="10">
        <f>G5-F5</f>
        <v>-2623.0520000000001</v>
      </c>
      <c r="I5" s="10"/>
      <c r="K5" s="10">
        <f>E5/(1+$B$1)^(A5)</f>
        <v>-2623.0520000000001</v>
      </c>
      <c r="L5" s="10"/>
      <c r="M5" s="10"/>
      <c r="N5" s="10"/>
      <c r="O5" s="10"/>
      <c r="P5" s="10"/>
      <c r="Q5" s="10"/>
      <c r="R5" s="10"/>
    </row>
    <row r="6" spans="1:23" x14ac:dyDescent="0.25">
      <c r="A6" s="6">
        <v>1</v>
      </c>
      <c r="B6" s="10">
        <v>123.69</v>
      </c>
      <c r="C6" s="6">
        <v>0</v>
      </c>
      <c r="D6" s="10">
        <v>0</v>
      </c>
      <c r="E6" s="10">
        <f t="shared" ref="E6:E12" si="1">D6-B6-C6</f>
        <v>-123.69</v>
      </c>
      <c r="F6" s="10">
        <f t="shared" ref="F6" si="2">B6/(1+$B$1)^$A6+C6/(1+$B$1)^$A6</f>
        <v>116.68867924528301</v>
      </c>
      <c r="G6" s="10">
        <f t="shared" si="0"/>
        <v>0</v>
      </c>
      <c r="H6" s="10">
        <f>G6-F6</f>
        <v>-116.68867924528301</v>
      </c>
      <c r="I6" s="10"/>
      <c r="K6" s="10">
        <f t="shared" ref="K6:K12" si="3">E6/(1+$B$1)^(A6)</f>
        <v>-116.68867924528301</v>
      </c>
      <c r="L6" s="10"/>
      <c r="M6" s="10"/>
      <c r="N6" s="10"/>
      <c r="O6" s="10"/>
      <c r="P6" s="10"/>
      <c r="Q6" s="10"/>
      <c r="R6" s="10"/>
      <c r="S6" s="13"/>
      <c r="T6" s="10"/>
      <c r="U6" s="10"/>
      <c r="V6" s="10"/>
      <c r="W6" s="10"/>
    </row>
    <row r="7" spans="1:23" x14ac:dyDescent="0.25">
      <c r="A7" s="6">
        <v>5</v>
      </c>
      <c r="B7" s="10">
        <v>366.1198</v>
      </c>
      <c r="C7" s="6">
        <f>750.215+224.759*Laskuri!$B$13-1.873*Laskuri!$B$13^2</f>
        <v>1827.1849999999997</v>
      </c>
      <c r="D7" s="10">
        <f>Työkaluvälilehti!$B$10*(A7-A6)*Työkaluvälilehti!$B$2</f>
        <v>2510.2560000000003</v>
      </c>
      <c r="E7" s="10">
        <f>D7-B7-C7</f>
        <v>316.95120000000065</v>
      </c>
      <c r="F7" s="10">
        <f t="shared" ref="F7:F12" si="4">B7/(1+$B$1)^$A7+C7/(1+$B$1)^$A7</f>
        <v>1638.9649373863522</v>
      </c>
      <c r="G7" s="10">
        <f t="shared" si="0"/>
        <v>1875.8093119860569</v>
      </c>
      <c r="H7" s="10">
        <f t="shared" ref="H7:H11" si="5">G7-F7</f>
        <v>236.84437459970468</v>
      </c>
      <c r="I7" s="10"/>
      <c r="K7" s="10">
        <f t="shared" si="3"/>
        <v>236.84437459970465</v>
      </c>
      <c r="L7" s="10"/>
      <c r="M7" s="10"/>
      <c r="N7" s="10"/>
      <c r="O7" s="10"/>
      <c r="P7" s="10"/>
      <c r="Q7" s="10"/>
      <c r="R7" s="10"/>
      <c r="S7" s="13"/>
    </row>
    <row r="8" spans="1:23" x14ac:dyDescent="0.25">
      <c r="A8" s="6">
        <v>9</v>
      </c>
      <c r="B8" s="10">
        <v>366.1198</v>
      </c>
      <c r="C8" s="6">
        <f>750.215+224.759*Laskuri!$B$13-1.873*Laskuri!$B$13^2</f>
        <v>1827.1849999999997</v>
      </c>
      <c r="D8" s="10">
        <f>Työkaluvälilehti!$B$10*(A8-A7)*Työkaluvälilehti!$B$2</f>
        <v>2510.2560000000003</v>
      </c>
      <c r="E8" s="10">
        <f>D8-B8-C8</f>
        <v>316.95120000000065</v>
      </c>
      <c r="F8" s="10">
        <f t="shared" si="4"/>
        <v>1298.2137411730287</v>
      </c>
      <c r="G8" s="10">
        <f t="shared" si="0"/>
        <v>1485.8166694670267</v>
      </c>
      <c r="H8" s="10">
        <f t="shared" si="5"/>
        <v>187.60292829399805</v>
      </c>
      <c r="I8" s="10"/>
      <c r="K8" s="10">
        <f t="shared" si="3"/>
        <v>187.60292829399805</v>
      </c>
      <c r="L8" s="10"/>
      <c r="M8" s="10"/>
      <c r="N8" s="10"/>
      <c r="O8" s="10"/>
      <c r="P8" s="10"/>
      <c r="Q8" s="10"/>
      <c r="R8" s="10"/>
      <c r="S8" s="13"/>
    </row>
    <row r="9" spans="1:23" x14ac:dyDescent="0.25">
      <c r="A9" s="6">
        <v>13</v>
      </c>
      <c r="B9" s="10">
        <v>366.1198</v>
      </c>
      <c r="C9" s="6">
        <f>750.215+224.759*Laskuri!$B$13-1.873*Laskuri!$B$13^2</f>
        <v>1827.1849999999997</v>
      </c>
      <c r="D9" s="10">
        <f>Työkaluvälilehti!$B$10*(A9-A8)*Työkaluvälilehti!$B$2</f>
        <v>2510.2560000000003</v>
      </c>
      <c r="E9" s="10">
        <f>D9-B9-C9</f>
        <v>316.95120000000065</v>
      </c>
      <c r="F9" s="10">
        <f t="shared" si="4"/>
        <v>1028.3068779116793</v>
      </c>
      <c r="G9" s="10">
        <f t="shared" si="0"/>
        <v>1176.9059686182518</v>
      </c>
      <c r="H9" s="10">
        <f t="shared" si="5"/>
        <v>148.5990907065725</v>
      </c>
      <c r="I9" s="10"/>
      <c r="K9" s="10">
        <f t="shared" si="3"/>
        <v>148.59909070657255</v>
      </c>
      <c r="L9" s="10"/>
      <c r="M9" s="10"/>
      <c r="N9" s="10"/>
      <c r="O9" s="10"/>
      <c r="P9" s="10"/>
      <c r="Q9" s="10"/>
      <c r="R9" s="10"/>
      <c r="S9" s="13"/>
    </row>
    <row r="10" spans="1:23" x14ac:dyDescent="0.25">
      <c r="A10" s="6">
        <v>17</v>
      </c>
      <c r="B10" s="10">
        <v>366.1198</v>
      </c>
      <c r="C10" s="6">
        <f>750.215+224.759*Laskuri!$B$13-1.873*Laskuri!$B$13^2</f>
        <v>1827.1849999999997</v>
      </c>
      <c r="D10" s="10">
        <f>Työkaluvälilehti!$B$10*(A10-A9)*Työkaluvälilehti!$B$2</f>
        <v>2510.2560000000003</v>
      </c>
      <c r="E10" s="10">
        <f t="shared" si="1"/>
        <v>316.95120000000065</v>
      </c>
      <c r="F10" s="10">
        <f t="shared" si="4"/>
        <v>814.51536185791394</v>
      </c>
      <c r="G10" s="10">
        <f t="shared" si="0"/>
        <v>932.21975996952199</v>
      </c>
      <c r="H10" s="10">
        <f t="shared" si="5"/>
        <v>117.70439811160804</v>
      </c>
      <c r="I10" s="10"/>
      <c r="K10" s="10">
        <f t="shared" si="3"/>
        <v>117.70439811160794</v>
      </c>
      <c r="L10" s="10"/>
      <c r="M10" s="10"/>
      <c r="N10" s="10"/>
      <c r="O10" s="10"/>
      <c r="P10" s="10"/>
      <c r="Q10" s="10"/>
      <c r="R10" s="10"/>
      <c r="S10" s="13"/>
    </row>
    <row r="11" spans="1:23" x14ac:dyDescent="0.25">
      <c r="A11" s="6">
        <v>21</v>
      </c>
      <c r="B11" s="10">
        <v>59</v>
      </c>
      <c r="C11" s="6">
        <f>750.215+224.759*Laskuri!$B$13-1.873*Laskuri!$B$13^2</f>
        <v>1827.1849999999997</v>
      </c>
      <c r="D11" s="10">
        <f>Työkaluvälilehti!$B$10*(A11-A10)*Työkaluvälilehti!$B$2</f>
        <v>2510.2560000000003</v>
      </c>
      <c r="E11" s="10">
        <f t="shared" si="1"/>
        <v>624.07100000000059</v>
      </c>
      <c r="F11" s="10">
        <f t="shared" si="4"/>
        <v>554.83150828455541</v>
      </c>
      <c r="G11" s="10">
        <f t="shared" si="0"/>
        <v>738.40536461712668</v>
      </c>
      <c r="H11" s="10">
        <f t="shared" si="5"/>
        <v>183.57385633257127</v>
      </c>
      <c r="I11" s="10"/>
      <c r="K11" s="10">
        <f t="shared" si="3"/>
        <v>183.57385633257135</v>
      </c>
      <c r="L11" s="10"/>
      <c r="M11" s="10"/>
      <c r="N11" s="10"/>
      <c r="O11" s="10"/>
      <c r="P11" s="10"/>
      <c r="Q11" s="10"/>
      <c r="R11" s="10"/>
      <c r="S11" s="13"/>
    </row>
    <row r="12" spans="1:23" x14ac:dyDescent="0.25">
      <c r="A12" s="6">
        <v>22</v>
      </c>
      <c r="B12" s="10">
        <v>400.56279999999998</v>
      </c>
      <c r="C12" s="6">
        <v>0</v>
      </c>
      <c r="D12" s="10">
        <v>0</v>
      </c>
      <c r="E12" s="10">
        <f t="shared" si="1"/>
        <v>-400.56279999999998</v>
      </c>
      <c r="F12" s="10">
        <f t="shared" si="4"/>
        <v>111.15821863183086</v>
      </c>
      <c r="G12" s="10">
        <f t="shared" si="0"/>
        <v>0</v>
      </c>
      <c r="H12" s="10">
        <f>G12-F12</f>
        <v>-111.15821863183086</v>
      </c>
      <c r="I12" s="10"/>
      <c r="K12" s="10">
        <f t="shared" si="3"/>
        <v>-111.15821863183086</v>
      </c>
      <c r="L12" s="10"/>
      <c r="M12" s="10"/>
      <c r="N12" s="10"/>
      <c r="O12" s="10"/>
      <c r="P12" s="10"/>
      <c r="Q12" s="10"/>
      <c r="R12" s="10"/>
      <c r="S12" s="13"/>
    </row>
    <row r="13" spans="1:23" x14ac:dyDescent="0.25">
      <c r="A13" s="6" t="s">
        <v>103</v>
      </c>
      <c r="B13" s="10" t="s">
        <v>96</v>
      </c>
      <c r="C13" s="6" t="s">
        <v>97</v>
      </c>
      <c r="D13" s="10" t="s">
        <v>98</v>
      </c>
      <c r="E13" s="10" t="s">
        <v>99</v>
      </c>
      <c r="F13" s="10" t="s">
        <v>100</v>
      </c>
      <c r="G13" s="10" t="s">
        <v>101</v>
      </c>
      <c r="H13" s="10" t="s">
        <v>102</v>
      </c>
      <c r="I13" s="10" t="s">
        <v>83</v>
      </c>
      <c r="K13" s="10"/>
      <c r="L13" s="10"/>
      <c r="M13" s="10"/>
      <c r="N13" s="10"/>
      <c r="O13" s="10"/>
      <c r="P13" s="10"/>
      <c r="Q13" s="10"/>
      <c r="R13" s="10"/>
    </row>
    <row r="14" spans="1:23" x14ac:dyDescent="0.25">
      <c r="B14" s="10">
        <f t="shared" ref="B14:H14" si="6">SUM(B5:B12)</f>
        <v>4670.7839999999997</v>
      </c>
      <c r="C14" s="10">
        <f t="shared" si="6"/>
        <v>9135.9249999999993</v>
      </c>
      <c r="D14" s="10">
        <f t="shared" si="6"/>
        <v>12551.280000000002</v>
      </c>
      <c r="E14" s="10">
        <f t="shared" si="6"/>
        <v>-1255.4289999999974</v>
      </c>
      <c r="F14" s="10">
        <f t="shared" si="6"/>
        <v>8185.7313244906436</v>
      </c>
      <c r="G14" s="10">
        <f t="shared" si="6"/>
        <v>6209.1570746579846</v>
      </c>
      <c r="H14" s="10">
        <f t="shared" si="6"/>
        <v>-1976.5742498326592</v>
      </c>
      <c r="I14" s="10">
        <f>H14/(1-(1/(1+$B$1))^(A12))</f>
        <v>-2735.7622058983438</v>
      </c>
      <c r="K14" s="10">
        <f>SUM(K5:K12)</f>
        <v>-1976.5742498326592</v>
      </c>
      <c r="L14" s="10"/>
      <c r="M14" s="10"/>
      <c r="N14" s="10"/>
      <c r="O14" s="10"/>
      <c r="P14" s="10"/>
      <c r="Q14" s="10"/>
      <c r="R14" s="10"/>
    </row>
    <row r="15" spans="1:23" x14ac:dyDescent="0.25">
      <c r="B15" s="10" t="s">
        <v>104</v>
      </c>
      <c r="C15" s="10">
        <v>1397.5694928126527</v>
      </c>
      <c r="D15" s="10"/>
      <c r="E15" s="10"/>
      <c r="F15" s="10"/>
      <c r="G15" s="10"/>
      <c r="H15" s="10"/>
      <c r="K15" s="10"/>
      <c r="L15" s="10"/>
      <c r="M15" s="10"/>
      <c r="N15" s="10"/>
      <c r="O15" s="10"/>
      <c r="P15" s="10"/>
      <c r="Q15" s="10"/>
      <c r="R15" s="10"/>
    </row>
    <row r="16" spans="1:23" x14ac:dyDescent="0.25">
      <c r="B16" s="10"/>
      <c r="C16" s="10"/>
      <c r="D16" s="10"/>
      <c r="E16" s="10"/>
      <c r="F16" s="10"/>
      <c r="G16" s="10"/>
      <c r="H16" s="10"/>
      <c r="K16" s="10"/>
      <c r="L16" s="10"/>
      <c r="M16" s="10"/>
      <c r="N16" s="10"/>
      <c r="O16" s="10"/>
      <c r="P16" s="10"/>
      <c r="Q16" s="10"/>
      <c r="R16" s="10"/>
    </row>
    <row r="17" spans="1:18" x14ac:dyDescent="0.25">
      <c r="B17" s="10"/>
      <c r="C17" s="10"/>
      <c r="D17" s="10"/>
      <c r="E17" s="10"/>
      <c r="F17" s="10"/>
      <c r="G17" s="10"/>
      <c r="H17" s="10"/>
      <c r="K17" s="10"/>
      <c r="L17" s="10"/>
      <c r="M17" s="10"/>
      <c r="N17" s="10"/>
      <c r="O17" s="10"/>
      <c r="P17" s="10"/>
      <c r="Q17" s="10"/>
      <c r="R17" s="10"/>
    </row>
    <row r="18" spans="1:18" x14ac:dyDescent="0.25">
      <c r="A18" s="6" t="s">
        <v>105</v>
      </c>
      <c r="B18" s="10"/>
      <c r="C18" s="10"/>
      <c r="D18" s="10"/>
      <c r="E18" s="10"/>
      <c r="F18" s="10"/>
      <c r="G18" s="10"/>
      <c r="H18" s="10"/>
      <c r="K18" s="10"/>
      <c r="L18" s="10"/>
      <c r="M18" s="10"/>
      <c r="N18" s="10"/>
      <c r="O18" s="10"/>
      <c r="P18" s="10"/>
      <c r="Q18" s="10"/>
      <c r="R18" s="10"/>
    </row>
    <row r="19" spans="1:18" x14ac:dyDescent="0.25">
      <c r="A19" s="6" t="s">
        <v>78</v>
      </c>
      <c r="B19" s="10" t="s">
        <v>96</v>
      </c>
      <c r="C19" s="6" t="s">
        <v>97</v>
      </c>
      <c r="D19" s="10" t="s">
        <v>98</v>
      </c>
      <c r="E19" s="10" t="s">
        <v>99</v>
      </c>
      <c r="F19" s="10" t="s">
        <v>100</v>
      </c>
      <c r="G19" s="10" t="s">
        <v>101</v>
      </c>
      <c r="H19" s="10" t="s">
        <v>102</v>
      </c>
      <c r="I19" s="10"/>
      <c r="K19" s="10"/>
      <c r="L19" s="10"/>
      <c r="M19" s="10"/>
      <c r="N19" s="10"/>
      <c r="O19" s="10"/>
      <c r="P19" s="10"/>
      <c r="Q19" s="10"/>
      <c r="R19" s="10"/>
    </row>
    <row r="20" spans="1:18" x14ac:dyDescent="0.25">
      <c r="A20" s="6">
        <v>0</v>
      </c>
      <c r="B20" s="10">
        <v>2707.34</v>
      </c>
      <c r="C20" s="6">
        <v>0</v>
      </c>
      <c r="D20" s="10">
        <v>0</v>
      </c>
      <c r="E20" s="10">
        <f>D20-B20-C20</f>
        <v>-2707.34</v>
      </c>
      <c r="F20" s="10">
        <f>B20/(1+$B$1)^$A20+C20/(1+$B$1)^$A20</f>
        <v>2707.34</v>
      </c>
      <c r="G20" s="10">
        <f t="shared" ref="G20:G27" si="7">D20/(1+$B$1)^$A20</f>
        <v>0</v>
      </c>
      <c r="H20" s="10">
        <f>G20-F20</f>
        <v>-2707.34</v>
      </c>
      <c r="I20" s="10"/>
      <c r="K20" s="10">
        <f>E20/(1+$B$1)^(A20)</f>
        <v>-2707.34</v>
      </c>
      <c r="L20" s="10"/>
      <c r="M20" s="10"/>
      <c r="N20" s="10"/>
      <c r="O20" s="10"/>
      <c r="P20" s="10"/>
      <c r="Q20" s="10"/>
      <c r="R20" s="10"/>
    </row>
    <row r="21" spans="1:18" x14ac:dyDescent="0.25">
      <c r="A21" s="6">
        <v>1</v>
      </c>
      <c r="B21" s="10">
        <v>320.15999999999997</v>
      </c>
      <c r="C21" s="6">
        <v>0</v>
      </c>
      <c r="D21" s="10">
        <v>0</v>
      </c>
      <c r="E21" s="10">
        <f t="shared" ref="E21:E27" si="8">D21-B21-C21</f>
        <v>-320.15999999999997</v>
      </c>
      <c r="F21" s="10">
        <f t="shared" ref="F21:F27" si="9">B21/(1+$B$1)^$A21+C21/(1+$B$1)^$A21</f>
        <v>302.03773584905656</v>
      </c>
      <c r="G21" s="10">
        <f t="shared" si="7"/>
        <v>0</v>
      </c>
      <c r="H21" s="10">
        <f>G21-F21</f>
        <v>-302.03773584905656</v>
      </c>
      <c r="I21" s="10"/>
      <c r="K21" s="10">
        <f t="shared" ref="K21:K27" si="10">E21/(1+$B$1)^(A21)</f>
        <v>-302.03773584905656</v>
      </c>
      <c r="L21" s="10"/>
      <c r="M21" s="10"/>
      <c r="N21" s="10"/>
      <c r="O21" s="10"/>
      <c r="P21" s="10"/>
      <c r="Q21" s="10"/>
      <c r="R21" s="10"/>
    </row>
    <row r="22" spans="1:18" x14ac:dyDescent="0.25">
      <c r="A22" s="6">
        <v>5</v>
      </c>
      <c r="B22" s="6">
        <v>441.2</v>
      </c>
      <c r="C22" s="6">
        <f>750.215+224.759*Laskuri!$B$13-1.873*Laskuri!$B$13^2</f>
        <v>1827.1849999999997</v>
      </c>
      <c r="D22" s="10">
        <f>Työkaluvälilehti!$B$10*(A22-A21)*Työkaluvälilehti!$B$2</f>
        <v>2510.2560000000003</v>
      </c>
      <c r="E22" s="10">
        <f>D22-B22-C22</f>
        <v>241.87100000000078</v>
      </c>
      <c r="F22" s="10">
        <f>B22/(1+$B$1)^$A22+C22/(1+$B$1)^$A22</f>
        <v>1695.0692304567704</v>
      </c>
      <c r="G22" s="10">
        <f t="shared" si="7"/>
        <v>1875.8093119860569</v>
      </c>
      <c r="H22" s="10">
        <f t="shared" ref="H22:H26" si="11">G22-F22</f>
        <v>180.7400815292865</v>
      </c>
      <c r="I22" s="10"/>
      <c r="K22" s="10">
        <f t="shared" si="10"/>
        <v>180.74008152928661</v>
      </c>
      <c r="L22" s="10"/>
      <c r="M22" s="10"/>
      <c r="N22" s="10"/>
      <c r="O22" s="10"/>
      <c r="P22" s="10"/>
      <c r="Q22" s="10"/>
      <c r="R22" s="10"/>
    </row>
    <row r="23" spans="1:18" x14ac:dyDescent="0.25">
      <c r="A23" s="6">
        <v>9</v>
      </c>
      <c r="B23" s="6">
        <v>441.2</v>
      </c>
      <c r="C23" s="6">
        <f>750.215+224.759*Laskuri!$B$13-1.873*Laskuri!$B$13^2</f>
        <v>1827.1849999999997</v>
      </c>
      <c r="D23" s="10">
        <f>Työkaluvälilehti!$B$10*(A23-A22)*Työkaluvälilehti!$B$2</f>
        <v>2510.2560000000003</v>
      </c>
      <c r="E23" s="10">
        <f>D23-B23-C23</f>
        <v>241.87100000000078</v>
      </c>
      <c r="F23" s="10">
        <f>B23/(1+$B$1)^$A23+C23/(1+$B$1)^$A23</f>
        <v>1342.6535961945556</v>
      </c>
      <c r="G23" s="10">
        <f t="shared" si="7"/>
        <v>1485.8166694670267</v>
      </c>
      <c r="H23" s="10">
        <f t="shared" si="11"/>
        <v>143.16307327247114</v>
      </c>
      <c r="I23" s="10"/>
      <c r="K23" s="10">
        <f t="shared" si="10"/>
        <v>143.16307327247114</v>
      </c>
      <c r="L23" s="10"/>
      <c r="M23" s="10"/>
      <c r="N23" s="10"/>
      <c r="O23" s="10"/>
      <c r="P23" s="10"/>
      <c r="Q23" s="10"/>
      <c r="R23" s="10"/>
    </row>
    <row r="24" spans="1:18" x14ac:dyDescent="0.25">
      <c r="A24" s="6">
        <v>13</v>
      </c>
      <c r="B24" s="6">
        <v>441.2</v>
      </c>
      <c r="C24" s="6">
        <f>750.215+224.759*Laskuri!$B$13-1.873*Laskuri!$B$13^2</f>
        <v>1827.1849999999997</v>
      </c>
      <c r="D24" s="10">
        <f>Työkaluvälilehti!$B$10*(A24-A23)*Työkaluvälilehti!$B$2</f>
        <v>2510.2560000000003</v>
      </c>
      <c r="E24" s="10">
        <f>D24-B24-C24</f>
        <v>241.87100000000078</v>
      </c>
      <c r="F24" s="10">
        <f>B24/(1+$B$1)^$A24+C24/(1+$B$1)^$A24</f>
        <v>1063.5074054694471</v>
      </c>
      <c r="G24" s="10">
        <f t="shared" si="7"/>
        <v>1176.9059686182518</v>
      </c>
      <c r="H24" s="10">
        <f t="shared" si="11"/>
        <v>113.39856314880467</v>
      </c>
      <c r="I24" s="10"/>
      <c r="K24" s="10">
        <f t="shared" si="10"/>
        <v>113.39856314880477</v>
      </c>
      <c r="L24" s="10"/>
      <c r="M24" s="10"/>
      <c r="N24" s="10"/>
      <c r="O24" s="10"/>
      <c r="P24" s="10"/>
      <c r="Q24" s="10"/>
      <c r="R24" s="10"/>
    </row>
    <row r="25" spans="1:18" x14ac:dyDescent="0.25">
      <c r="A25" s="6">
        <v>17</v>
      </c>
      <c r="B25" s="6">
        <v>441.2</v>
      </c>
      <c r="C25" s="6">
        <f>750.215+224.759*Laskuri!$B$13-1.873*Laskuri!$B$13^2</f>
        <v>1827.1849999999997</v>
      </c>
      <c r="D25" s="10">
        <f>Työkaluvälilehti!$B$10*(A25-A24)*Työkaluvälilehti!$B$2</f>
        <v>2510.2560000000003</v>
      </c>
      <c r="E25" s="10">
        <f t="shared" si="8"/>
        <v>241.87100000000078</v>
      </c>
      <c r="F25" s="10">
        <f t="shared" si="9"/>
        <v>842.39747667905726</v>
      </c>
      <c r="G25" s="10">
        <f t="shared" si="7"/>
        <v>932.21975996952199</v>
      </c>
      <c r="H25" s="10">
        <f t="shared" si="11"/>
        <v>89.822283290464725</v>
      </c>
      <c r="I25" s="10"/>
      <c r="K25" s="10">
        <f t="shared" si="10"/>
        <v>89.822283290464767</v>
      </c>
      <c r="L25" s="10"/>
      <c r="M25" s="10"/>
      <c r="N25" s="10"/>
      <c r="O25" s="10"/>
      <c r="P25" s="10"/>
      <c r="Q25" s="10"/>
      <c r="R25" s="10"/>
    </row>
    <row r="26" spans="1:18" x14ac:dyDescent="0.25">
      <c r="A26" s="6">
        <v>21</v>
      </c>
      <c r="B26" s="10">
        <v>59</v>
      </c>
      <c r="C26" s="6">
        <f>750.215+224.759*Laskuri!$B$13-1.873*Laskuri!$B$13^2</f>
        <v>1827.1849999999997</v>
      </c>
      <c r="D26" s="10">
        <f>Työkaluvälilehti!$B$10*(A26-A25)*Työkaluvälilehti!$B$2</f>
        <v>2510.2560000000003</v>
      </c>
      <c r="E26" s="10">
        <f t="shared" si="8"/>
        <v>624.07100000000059</v>
      </c>
      <c r="F26" s="10">
        <f t="shared" si="9"/>
        <v>554.83150828455541</v>
      </c>
      <c r="G26" s="10">
        <f t="shared" si="7"/>
        <v>738.40536461712668</v>
      </c>
      <c r="H26" s="10">
        <f t="shared" si="11"/>
        <v>183.57385633257127</v>
      </c>
      <c r="I26" s="10"/>
      <c r="K26" s="10">
        <f t="shared" si="10"/>
        <v>183.57385633257135</v>
      </c>
      <c r="L26" s="10"/>
      <c r="M26" s="10"/>
      <c r="N26" s="10"/>
      <c r="O26" s="10"/>
      <c r="P26" s="10"/>
      <c r="Q26" s="10"/>
      <c r="R26" s="10"/>
    </row>
    <row r="27" spans="1:18" x14ac:dyDescent="0.25">
      <c r="A27" s="6">
        <v>22</v>
      </c>
      <c r="B27" s="10">
        <v>400.56279999999998</v>
      </c>
      <c r="C27" s="6">
        <v>0</v>
      </c>
      <c r="D27" s="10">
        <v>0</v>
      </c>
      <c r="E27" s="10">
        <f t="shared" si="8"/>
        <v>-400.56279999999998</v>
      </c>
      <c r="F27" s="10">
        <f t="shared" si="9"/>
        <v>111.15821863183086</v>
      </c>
      <c r="G27" s="10">
        <f t="shared" si="7"/>
        <v>0</v>
      </c>
      <c r="H27" s="10">
        <f>G27-F27</f>
        <v>-111.15821863183086</v>
      </c>
      <c r="I27" s="10"/>
      <c r="K27" s="10">
        <f t="shared" si="10"/>
        <v>-111.15821863183086</v>
      </c>
      <c r="L27" s="10"/>
      <c r="M27" s="10"/>
      <c r="N27" s="10"/>
      <c r="O27" s="10"/>
      <c r="P27" s="10"/>
      <c r="Q27" s="10"/>
      <c r="R27" s="10"/>
    </row>
    <row r="28" spans="1:18" x14ac:dyDescent="0.25">
      <c r="A28" s="6" t="s">
        <v>103</v>
      </c>
      <c r="B28" s="10" t="s">
        <v>96</v>
      </c>
      <c r="C28" s="6" t="s">
        <v>97</v>
      </c>
      <c r="D28" s="10" t="s">
        <v>98</v>
      </c>
      <c r="E28" s="10" t="s">
        <v>99</v>
      </c>
      <c r="F28" s="10" t="s">
        <v>100</v>
      </c>
      <c r="G28" s="10" t="s">
        <v>101</v>
      </c>
      <c r="H28" s="10" t="s">
        <v>102</v>
      </c>
      <c r="I28" s="10" t="s">
        <v>83</v>
      </c>
      <c r="K28" s="10"/>
      <c r="L28" s="10"/>
      <c r="M28" s="10"/>
      <c r="N28" s="10"/>
      <c r="O28" s="10"/>
      <c r="P28" s="10"/>
      <c r="Q28" s="10"/>
      <c r="R28" s="10"/>
    </row>
    <row r="29" spans="1:18" x14ac:dyDescent="0.25">
      <c r="B29" s="10">
        <f>SUM(B20:B27)</f>
        <v>5251.862799999999</v>
      </c>
      <c r="C29" s="10">
        <f>SUM(C20:C27)</f>
        <v>9135.9249999999993</v>
      </c>
      <c r="D29" s="10">
        <f>SUM(D20:D27)</f>
        <v>12551.280000000002</v>
      </c>
      <c r="E29" s="10">
        <f t="shared" ref="E29" si="12">SUM(E20:E27)</f>
        <v>-1836.5077999999953</v>
      </c>
      <c r="F29" s="10">
        <f>SUM(F20:F27)</f>
        <v>8618.9951715652714</v>
      </c>
      <c r="G29" s="10">
        <f t="shared" ref="G29" si="13">SUM(G20:G27)</f>
        <v>6209.1570746579846</v>
      </c>
      <c r="H29" s="10">
        <f>SUM(H20:H27)</f>
        <v>-2409.8380969072896</v>
      </c>
      <c r="I29" s="10">
        <f>H29/(1-(1/(1+$B$1))^(A27))</f>
        <v>-3335.4395810889005</v>
      </c>
      <c r="K29" s="10">
        <f>SUM(K20:K27)</f>
        <v>-2409.8380969072887</v>
      </c>
      <c r="L29" s="10"/>
      <c r="M29" s="10"/>
      <c r="N29" s="10"/>
      <c r="O29" s="10"/>
      <c r="P29" s="10"/>
      <c r="Q29" s="10"/>
      <c r="R29" s="10"/>
    </row>
    <row r="30" spans="1:18" x14ac:dyDescent="0.25">
      <c r="B30" s="10" t="s">
        <v>104</v>
      </c>
      <c r="C30" s="10">
        <v>1436.0586439748142</v>
      </c>
      <c r="D30" s="10"/>
      <c r="E30" s="10"/>
      <c r="F30" s="10"/>
      <c r="G30" s="10"/>
      <c r="H30" s="10"/>
      <c r="L30" s="10"/>
      <c r="M30" s="10"/>
      <c r="N30" s="10"/>
      <c r="O30" s="10"/>
      <c r="P30" s="10"/>
      <c r="Q30" s="10"/>
      <c r="R30" s="10"/>
    </row>
    <row r="31" spans="1:18" x14ac:dyDescent="0.25">
      <c r="A31" s="6" t="s">
        <v>106</v>
      </c>
      <c r="B31" s="10"/>
      <c r="C31" s="10"/>
      <c r="D31" s="10"/>
      <c r="E31" s="10"/>
      <c r="F31" s="10"/>
      <c r="G31" s="10"/>
      <c r="H31" s="10"/>
      <c r="L31" s="10"/>
      <c r="M31" s="10"/>
      <c r="N31" s="10"/>
      <c r="O31" s="10"/>
      <c r="P31" s="10"/>
      <c r="Q31" s="10"/>
      <c r="R31" s="10"/>
    </row>
    <row r="32" spans="1:18" x14ac:dyDescent="0.25">
      <c r="A32" s="6" t="s">
        <v>78</v>
      </c>
      <c r="B32" s="10" t="s">
        <v>107</v>
      </c>
      <c r="C32" s="10" t="s">
        <v>98</v>
      </c>
      <c r="D32" s="10" t="s">
        <v>99</v>
      </c>
      <c r="E32" s="10" t="s">
        <v>100</v>
      </c>
      <c r="F32" s="10" t="s">
        <v>101</v>
      </c>
      <c r="G32" s="10" t="s">
        <v>102</v>
      </c>
      <c r="H32" s="10"/>
      <c r="L32" s="10"/>
      <c r="M32" s="10"/>
      <c r="N32" s="10"/>
      <c r="O32" s="10"/>
      <c r="P32" s="10"/>
      <c r="Q32" s="10"/>
      <c r="R32" s="10"/>
    </row>
    <row r="33" spans="1:18" x14ac:dyDescent="0.25">
      <c r="A33" s="6">
        <v>0</v>
      </c>
      <c r="B33" s="10">
        <v>370</v>
      </c>
      <c r="C33" s="10">
        <v>0</v>
      </c>
      <c r="D33" s="10">
        <f>C33-B33</f>
        <v>-370</v>
      </c>
      <c r="E33" s="10">
        <f>B33/(1+$B$1)^$A33</f>
        <v>370</v>
      </c>
      <c r="F33" s="10">
        <f>C33/(1+$B$1)^$A33</f>
        <v>0</v>
      </c>
      <c r="G33" s="10">
        <f>F33-E33</f>
        <v>-370</v>
      </c>
      <c r="H33" s="10"/>
      <c r="L33" s="10"/>
      <c r="M33" s="10"/>
      <c r="N33" s="10"/>
      <c r="O33" s="10"/>
      <c r="P33" s="10"/>
      <c r="Q33" s="10"/>
      <c r="R33" s="10"/>
    </row>
    <row r="34" spans="1:18" x14ac:dyDescent="0.25">
      <c r="A34" s="6">
        <v>22</v>
      </c>
      <c r="B34" s="10">
        <v>4633.3675838602585</v>
      </c>
      <c r="C34" s="10" t="e">
        <f>Työkaluvälilehti!$B$2*('6 % korko'!A34-'6 % korko'!A33)*Työkaluvälilehti!$B$11</f>
        <v>#REF!</v>
      </c>
      <c r="D34" s="10" t="e">
        <f t="shared" ref="D34:D36" si="14">C34-B34</f>
        <v>#REF!</v>
      </c>
      <c r="E34" s="10">
        <f>B34/(1+$B$1)^$A34</f>
        <v>1285.78312037058</v>
      </c>
      <c r="F34" s="10" t="e">
        <f t="shared" ref="F34:F36" si="15">C34/(1+$B$1)^$A34</f>
        <v>#REF!</v>
      </c>
      <c r="G34" s="10" t="e">
        <f>F34-E34</f>
        <v>#REF!</v>
      </c>
      <c r="H34" s="10"/>
      <c r="L34" s="10"/>
      <c r="M34" s="10"/>
      <c r="N34" s="10"/>
      <c r="O34" s="10"/>
      <c r="P34" s="10"/>
      <c r="Q34" s="10"/>
      <c r="R34" s="10"/>
    </row>
    <row r="35" spans="1:18" x14ac:dyDescent="0.25">
      <c r="A35" s="6">
        <v>43</v>
      </c>
      <c r="B35" s="10">
        <v>4633.3675838602585</v>
      </c>
      <c r="C35" s="10" t="e">
        <f>Työkaluvälilehti!$B$2*('6 % korko'!A35-'6 % korko'!A34)*Työkaluvälilehti!$B$11</f>
        <v>#REF!</v>
      </c>
      <c r="D35" s="10" t="e">
        <f t="shared" si="14"/>
        <v>#REF!</v>
      </c>
      <c r="E35" s="10">
        <f t="shared" ref="E35:E36" si="16">B35/(1+$B$1)^$A35</f>
        <v>378.2200515866848</v>
      </c>
      <c r="F35" s="10" t="e">
        <f t="shared" si="15"/>
        <v>#REF!</v>
      </c>
      <c r="G35" s="10" t="e">
        <f t="shared" ref="G35:G36" si="17">F35-E35</f>
        <v>#REF!</v>
      </c>
      <c r="H35" s="10"/>
      <c r="L35" s="10"/>
      <c r="M35" s="10"/>
      <c r="N35" s="10"/>
      <c r="O35" s="10"/>
      <c r="P35" s="10"/>
      <c r="Q35" s="10"/>
      <c r="R35" s="10"/>
    </row>
    <row r="36" spans="1:18" x14ac:dyDescent="0.25">
      <c r="A36" s="6">
        <v>64</v>
      </c>
      <c r="B36" s="10">
        <v>5114.3867476233245</v>
      </c>
      <c r="C36" s="10" t="e">
        <f>Työkaluvälilehti!$B$2*('6 % korko'!A36-'6 % korko'!A35)*Työkaluvälilehti!$B$11</f>
        <v>#REF!</v>
      </c>
      <c r="D36" s="10" t="e">
        <f t="shared" si="14"/>
        <v>#REF!</v>
      </c>
      <c r="E36" s="10">
        <f t="shared" si="16"/>
        <v>122.80560504075694</v>
      </c>
      <c r="F36" s="10" t="e">
        <f t="shared" si="15"/>
        <v>#REF!</v>
      </c>
      <c r="G36" s="10" t="e">
        <f t="shared" si="17"/>
        <v>#REF!</v>
      </c>
      <c r="H36" s="10"/>
      <c r="L36" s="10"/>
      <c r="M36" s="10"/>
      <c r="N36" s="10"/>
      <c r="O36" s="10"/>
      <c r="P36" s="10"/>
      <c r="Q36" s="10"/>
      <c r="R36" s="10"/>
    </row>
    <row r="37" spans="1:18" x14ac:dyDescent="0.25">
      <c r="A37" s="6">
        <v>86</v>
      </c>
      <c r="B37" s="10">
        <v>4633.3675838602585</v>
      </c>
      <c r="C37" s="10" t="e">
        <f>Työkaluvälilehti!$B$2*('6 % korko'!A37-'6 % korko'!A36)*Työkaluvälilehti!$B$11</f>
        <v>#REF!</v>
      </c>
      <c r="D37" s="10" t="e">
        <f>C37-B37</f>
        <v>#REF!</v>
      </c>
      <c r="E37" s="10">
        <f>B37/(1+$B$1)^$A37</f>
        <v>30.873960425788855</v>
      </c>
      <c r="F37" s="10" t="e">
        <f>C37/(1+$B$1)^$A37</f>
        <v>#REF!</v>
      </c>
      <c r="G37" s="10" t="e">
        <f>F37-E37</f>
        <v>#REF!</v>
      </c>
      <c r="H37" s="10"/>
      <c r="L37" s="10"/>
      <c r="M37" s="10"/>
      <c r="N37" s="10"/>
      <c r="O37" s="10"/>
      <c r="P37" s="10"/>
      <c r="Q37" s="10"/>
      <c r="R37" s="10"/>
    </row>
    <row r="38" spans="1:18" x14ac:dyDescent="0.25">
      <c r="A38" s="6" t="s">
        <v>103</v>
      </c>
      <c r="B38" s="10" t="s">
        <v>107</v>
      </c>
      <c r="C38" s="10" t="s">
        <v>98</v>
      </c>
      <c r="D38" s="10" t="s">
        <v>99</v>
      </c>
      <c r="E38" s="10" t="s">
        <v>100</v>
      </c>
      <c r="F38" s="10" t="s">
        <v>101</v>
      </c>
      <c r="G38" s="10" t="s">
        <v>102</v>
      </c>
      <c r="H38" s="10" t="s">
        <v>83</v>
      </c>
      <c r="L38" s="10"/>
      <c r="M38" s="10"/>
      <c r="N38" s="10"/>
      <c r="O38" s="10"/>
      <c r="P38" s="10"/>
      <c r="Q38" s="10"/>
      <c r="R38" s="10"/>
    </row>
    <row r="39" spans="1:18" x14ac:dyDescent="0.25">
      <c r="B39" s="10">
        <f t="shared" ref="B39:G39" si="18">SUM(B33:B37)</f>
        <v>19384.489499204101</v>
      </c>
      <c r="C39" s="10" t="e">
        <f t="shared" si="18"/>
        <v>#REF!</v>
      </c>
      <c r="D39" s="10" t="e">
        <f t="shared" si="18"/>
        <v>#REF!</v>
      </c>
      <c r="E39" s="10">
        <f t="shared" si="18"/>
        <v>2187.6827374238105</v>
      </c>
      <c r="F39" s="10" t="e">
        <f t="shared" si="18"/>
        <v>#REF!</v>
      </c>
      <c r="G39" s="10" t="e">
        <f t="shared" si="18"/>
        <v>#REF!</v>
      </c>
      <c r="H39" s="10" t="e">
        <f>G33+G34+G35+G36+G37/(1-EXP(-$B$1*A37))</f>
        <v>#REF!</v>
      </c>
      <c r="L39" s="10"/>
      <c r="M39" s="10"/>
      <c r="N39" s="10"/>
      <c r="O39" s="10"/>
      <c r="P39" s="10"/>
      <c r="Q39" s="10"/>
      <c r="R39" s="10"/>
    </row>
    <row r="40" spans="1:18" x14ac:dyDescent="0.25">
      <c r="B40" s="10"/>
      <c r="C40" s="10"/>
      <c r="D40" s="10"/>
      <c r="E40" s="10"/>
      <c r="F40" s="10"/>
      <c r="G40" s="10"/>
      <c r="H40" s="10"/>
      <c r="L40" s="10"/>
      <c r="M40" s="10"/>
      <c r="N40" s="10"/>
      <c r="O40" s="10"/>
      <c r="P40" s="10"/>
      <c r="Q40" s="10"/>
      <c r="R40" s="10"/>
    </row>
    <row r="41" spans="1:18" x14ac:dyDescent="0.25">
      <c r="B41" s="10"/>
      <c r="C41" s="10"/>
      <c r="D41" s="10"/>
      <c r="E41" s="10"/>
      <c r="F41" s="10"/>
      <c r="G41" s="10"/>
      <c r="H41" s="10"/>
      <c r="L41" s="10"/>
      <c r="M41" s="10"/>
      <c r="N41" s="10"/>
      <c r="O41" s="10"/>
      <c r="P41" s="10"/>
      <c r="Q41" s="10"/>
      <c r="R41" s="10"/>
    </row>
    <row r="42" spans="1:18" x14ac:dyDescent="0.25">
      <c r="B42" s="10" t="s">
        <v>104</v>
      </c>
      <c r="C42" s="10">
        <v>2803.0909820774596</v>
      </c>
      <c r="D42" s="10"/>
      <c r="E42" s="10"/>
      <c r="F42" s="10"/>
      <c r="G42" s="10"/>
      <c r="H42" s="10"/>
      <c r="L42" s="10"/>
      <c r="M42" s="10"/>
      <c r="N42" s="10"/>
      <c r="O42" s="10"/>
      <c r="P42" s="10"/>
      <c r="Q42" s="10"/>
      <c r="R42" s="10"/>
    </row>
    <row r="43" spans="1:18" x14ac:dyDescent="0.25">
      <c r="A43" s="1" t="s">
        <v>126</v>
      </c>
      <c r="B43" s="10"/>
      <c r="C43" s="10"/>
      <c r="D43" s="10"/>
      <c r="E43" s="10"/>
      <c r="F43" s="10"/>
      <c r="G43" s="10"/>
      <c r="H43" s="10"/>
      <c r="L43" s="10"/>
      <c r="M43" s="10"/>
      <c r="N43" s="10"/>
      <c r="O43" s="10"/>
      <c r="P43" s="10"/>
      <c r="Q43" s="10"/>
      <c r="R43" s="10"/>
    </row>
    <row r="44" spans="1:18" x14ac:dyDescent="0.25">
      <c r="A44" s="6" t="s">
        <v>78</v>
      </c>
      <c r="B44" s="10" t="s">
        <v>107</v>
      </c>
      <c r="C44" s="10" t="s">
        <v>98</v>
      </c>
      <c r="D44" s="10" t="s">
        <v>99</v>
      </c>
      <c r="E44" s="10" t="s">
        <v>100</v>
      </c>
      <c r="F44" s="10" t="s">
        <v>101</v>
      </c>
      <c r="G44" s="10" t="s">
        <v>102</v>
      </c>
      <c r="H44" s="10"/>
      <c r="L44" s="10"/>
      <c r="M44" s="10"/>
      <c r="N44" s="10"/>
      <c r="O44" s="10"/>
      <c r="P44" s="10"/>
      <c r="Q44" s="10"/>
      <c r="R44" s="10"/>
    </row>
    <row r="45" spans="1:18" x14ac:dyDescent="0.25">
      <c r="A45" s="6">
        <v>0</v>
      </c>
      <c r="B45" s="10">
        <v>1241.0517070707067</v>
      </c>
      <c r="C45" s="10">
        <v>0</v>
      </c>
      <c r="D45" s="10">
        <f>C45-B45</f>
        <v>-1241.0517070707067</v>
      </c>
      <c r="E45" s="10">
        <f>B45/(1+$B$1)^$A45</f>
        <v>1241.0517070707067</v>
      </c>
      <c r="F45" s="10">
        <f>C45/(1+$B$1)^$A45</f>
        <v>0</v>
      </c>
      <c r="G45" s="10">
        <f>F45-E45</f>
        <v>-1241.0517070707067</v>
      </c>
      <c r="H45" s="10"/>
      <c r="L45" s="10"/>
      <c r="M45" s="10"/>
      <c r="N45" s="10"/>
      <c r="O45" s="10"/>
      <c r="P45" s="10"/>
      <c r="Q45" s="10"/>
      <c r="R45" s="10"/>
    </row>
    <row r="46" spans="1:18" x14ac:dyDescent="0.25">
      <c r="A46" s="6">
        <v>1</v>
      </c>
      <c r="B46" s="10">
        <v>88.968222222222209</v>
      </c>
      <c r="C46" s="10">
        <v>0</v>
      </c>
      <c r="D46" s="10">
        <f t="shared" ref="D46:D48" si="19">C46-B46</f>
        <v>-88.968222222222209</v>
      </c>
      <c r="E46" s="10">
        <f>B46/(1+$B$1)^$A46</f>
        <v>83.932285115303969</v>
      </c>
      <c r="F46" s="10">
        <f t="shared" ref="F46:F48" si="20">C46/(1+$B$1)^$A46</f>
        <v>0</v>
      </c>
      <c r="G46" s="10">
        <f>F46-E46</f>
        <v>-83.932285115303969</v>
      </c>
      <c r="H46" s="10"/>
      <c r="L46" s="10"/>
      <c r="M46" s="10"/>
      <c r="N46" s="10"/>
      <c r="O46" s="10"/>
      <c r="P46" s="10"/>
      <c r="Q46" s="10"/>
      <c r="R46" s="10"/>
    </row>
    <row r="47" spans="1:18" x14ac:dyDescent="0.25">
      <c r="A47" s="6">
        <v>2</v>
      </c>
      <c r="B47" s="10">
        <v>742.82444444444434</v>
      </c>
      <c r="C47" s="10">
        <f>Työkaluvälilehti!$B$12*(A47-A46)*Työkaluvälilehti!$B$7</f>
        <v>1236</v>
      </c>
      <c r="D47" s="10">
        <f t="shared" si="19"/>
        <v>493.17555555555566</v>
      </c>
      <c r="E47" s="10">
        <f t="shared" ref="E47:F54" si="21">B47/(1+$B$1)^$A47</f>
        <v>661.11111111111097</v>
      </c>
      <c r="F47" s="10">
        <f t="shared" si="20"/>
        <v>1100.0355998576003</v>
      </c>
      <c r="G47" s="10">
        <f t="shared" ref="G47:G48" si="22">F47-E47</f>
        <v>438.92448874648937</v>
      </c>
      <c r="H47" s="10"/>
      <c r="L47" s="10"/>
      <c r="M47" s="10"/>
      <c r="N47" s="10"/>
      <c r="O47" s="10"/>
      <c r="P47" s="10"/>
      <c r="Q47" s="10"/>
      <c r="R47" s="10"/>
    </row>
    <row r="48" spans="1:18" x14ac:dyDescent="0.25">
      <c r="A48" s="6">
        <v>3</v>
      </c>
      <c r="B48" s="10">
        <v>742.82444444444434</v>
      </c>
      <c r="C48" s="10">
        <f>Työkaluvälilehti!$B$12*(A48-A47)*Työkaluvälilehti!$B$7</f>
        <v>1236</v>
      </c>
      <c r="D48" s="10">
        <f t="shared" si="19"/>
        <v>493.17555555555566</v>
      </c>
      <c r="E48" s="10">
        <f t="shared" si="21"/>
        <v>623.68972746331212</v>
      </c>
      <c r="F48" s="10">
        <f t="shared" si="20"/>
        <v>1037.7694338279248</v>
      </c>
      <c r="G48" s="10">
        <f t="shared" si="22"/>
        <v>414.07970636461266</v>
      </c>
      <c r="H48" s="10"/>
      <c r="L48" s="10"/>
      <c r="M48" s="10"/>
      <c r="N48" s="10"/>
      <c r="O48" s="10"/>
      <c r="P48" s="10"/>
      <c r="Q48" s="10"/>
      <c r="R48" s="10"/>
    </row>
    <row r="49" spans="1:18" x14ac:dyDescent="0.25">
      <c r="A49" s="6">
        <v>4</v>
      </c>
      <c r="B49" s="10">
        <v>742.82444444444434</v>
      </c>
      <c r="C49" s="10">
        <f>Työkaluvälilehti!$B$12*(A49-A48)*Työkaluvälilehti!$B$7</f>
        <v>1236</v>
      </c>
      <c r="D49" s="10">
        <f>C49-B49</f>
        <v>493.17555555555566</v>
      </c>
      <c r="E49" s="10">
        <f t="shared" si="21"/>
        <v>588.38653534274727</v>
      </c>
      <c r="F49" s="10">
        <f t="shared" si="21"/>
        <v>979.02776776219321</v>
      </c>
      <c r="G49" s="10">
        <f>F49-E49</f>
        <v>390.64123241944594</v>
      </c>
      <c r="H49" s="10"/>
      <c r="L49" s="10"/>
      <c r="M49" s="10"/>
      <c r="N49" s="10"/>
      <c r="O49" s="10"/>
      <c r="P49" s="10"/>
      <c r="Q49" s="10"/>
      <c r="R49" s="10"/>
    </row>
    <row r="50" spans="1:18" x14ac:dyDescent="0.25">
      <c r="A50" s="6">
        <v>5</v>
      </c>
      <c r="B50" s="10">
        <v>742.82444444444434</v>
      </c>
      <c r="C50" s="10">
        <f>Työkaluvälilehti!$B$12*(A50-A49)*Työkaluvälilehti!$B$7</f>
        <v>1236</v>
      </c>
      <c r="D50" s="10">
        <f>C50-B50</f>
        <v>493.17555555555566</v>
      </c>
      <c r="E50" s="10">
        <f t="shared" si="21"/>
        <v>555.08163711579925</v>
      </c>
      <c r="F50" s="10">
        <f t="shared" si="21"/>
        <v>923.61110166244634</v>
      </c>
      <c r="G50" s="10">
        <f>F50-E50</f>
        <v>368.52946454664709</v>
      </c>
      <c r="H50" s="10"/>
      <c r="L50" s="10"/>
      <c r="M50" s="10"/>
      <c r="N50" s="10"/>
      <c r="O50" s="10"/>
      <c r="P50" s="10"/>
      <c r="Q50" s="10"/>
      <c r="R50" s="10"/>
    </row>
    <row r="51" spans="1:18" x14ac:dyDescent="0.25">
      <c r="A51" s="6">
        <v>6</v>
      </c>
      <c r="B51" s="10">
        <v>742.82444444444434</v>
      </c>
      <c r="C51" s="10">
        <f>Työkaluvälilehti!$B$12*(A51-A50)*Työkaluvälilehti!$B$7</f>
        <v>1236</v>
      </c>
      <c r="D51" s="10">
        <f>C51-B51</f>
        <v>493.17555555555566</v>
      </c>
      <c r="E51" s="10">
        <f t="shared" si="21"/>
        <v>523.66192180735777</v>
      </c>
      <c r="F51" s="10">
        <f t="shared" si="21"/>
        <v>871.33122798343993</v>
      </c>
      <c r="G51" s="10">
        <f>F51-E51</f>
        <v>347.66930617608216</v>
      </c>
      <c r="H51" s="10"/>
      <c r="L51" s="10"/>
      <c r="M51" s="10"/>
      <c r="N51" s="10"/>
      <c r="O51" s="10"/>
      <c r="P51" s="10"/>
      <c r="Q51" s="10"/>
      <c r="R51" s="10"/>
    </row>
    <row r="52" spans="1:18" x14ac:dyDescent="0.25">
      <c r="A52" s="6">
        <v>7</v>
      </c>
      <c r="B52" s="10">
        <v>742.82444444444434</v>
      </c>
      <c r="C52" s="10">
        <f>Työkaluvälilehti!$B$12*(A52-A51)*Työkaluvälilehti!$B$7</f>
        <v>1236</v>
      </c>
      <c r="D52" s="10">
        <f t="shared" ref="D52:D53" si="23">C52-B52</f>
        <v>493.17555555555566</v>
      </c>
      <c r="E52" s="10">
        <f>B52/(1+$B$1)^$A52</f>
        <v>494.02068095033746</v>
      </c>
      <c r="F52" s="10">
        <f t="shared" si="21"/>
        <v>822.01059243720738</v>
      </c>
      <c r="G52" s="10">
        <f>F52-E52</f>
        <v>327.98991148686991</v>
      </c>
      <c r="H52" s="10"/>
      <c r="L52" s="10"/>
      <c r="M52" s="10"/>
      <c r="N52" s="10"/>
      <c r="O52" s="10"/>
      <c r="P52" s="10"/>
      <c r="Q52" s="10"/>
      <c r="R52" s="10"/>
    </row>
    <row r="53" spans="1:18" x14ac:dyDescent="0.25">
      <c r="A53" s="6">
        <v>8</v>
      </c>
      <c r="B53" s="10">
        <v>742.82444444444434</v>
      </c>
      <c r="C53" s="10">
        <f>Työkaluvälilehti!$B$12*(A53-A52)*Työkaluvälilehti!$B$7</f>
        <v>1236</v>
      </c>
      <c r="D53" s="10">
        <f t="shared" si="23"/>
        <v>493.17555555555566</v>
      </c>
      <c r="E53" s="10">
        <f t="shared" ref="E53" si="24">B53/(1+$B$1)^$A53</f>
        <v>466.05724617956366</v>
      </c>
      <c r="F53" s="10">
        <f t="shared" si="21"/>
        <v>775.48169097849757</v>
      </c>
      <c r="G53" s="10">
        <f t="shared" ref="G53:G54" si="25">F53-E53</f>
        <v>309.42444479893391</v>
      </c>
      <c r="H53" s="10"/>
      <c r="L53" s="10"/>
      <c r="M53" s="10"/>
      <c r="N53" s="10"/>
      <c r="O53" s="10"/>
      <c r="P53" s="10"/>
      <c r="Q53" s="10"/>
      <c r="R53" s="10"/>
    </row>
    <row r="54" spans="1:18" x14ac:dyDescent="0.25">
      <c r="A54" s="6">
        <v>9</v>
      </c>
      <c r="B54" s="10">
        <v>742.82444444444434</v>
      </c>
      <c r="C54" s="10">
        <f>Työkaluvälilehti!$B$12*(A54-A53)*Työkaluvälilehti!$B$7</f>
        <v>1236</v>
      </c>
      <c r="D54" s="10">
        <f>C54-B54</f>
        <v>493.17555555555566</v>
      </c>
      <c r="E54" s="10">
        <f>B54/(1+$B$1)^$A54</f>
        <v>439.676647339211</v>
      </c>
      <c r="F54" s="10">
        <f t="shared" si="21"/>
        <v>731.58650092311086</v>
      </c>
      <c r="G54" s="10">
        <f t="shared" si="25"/>
        <v>291.90985358389986</v>
      </c>
      <c r="H54" s="10"/>
      <c r="L54" s="10"/>
      <c r="M54" s="10"/>
      <c r="N54" s="10"/>
      <c r="O54" s="10"/>
      <c r="P54" s="10"/>
      <c r="Q54" s="10"/>
      <c r="R54" s="10"/>
    </row>
    <row r="55" spans="1:18" x14ac:dyDescent="0.25">
      <c r="A55" s="6">
        <v>10</v>
      </c>
      <c r="B55" s="10">
        <v>773.1708010335916</v>
      </c>
      <c r="C55" s="10">
        <f>Työkaluvälilehti!$B$12*(A55-A54)*Työkaluvälilehti!$B$7</f>
        <v>1236</v>
      </c>
      <c r="D55" s="10">
        <f>C55-B55</f>
        <v>462.8291989664084</v>
      </c>
      <c r="E55" s="10">
        <f>B55/(1+$B$1)^$A55</f>
        <v>431.73453696043538</v>
      </c>
      <c r="F55" s="10">
        <f>C55/(1+$B$1)^$A55</f>
        <v>690.1759442670857</v>
      </c>
      <c r="G55" s="10">
        <f>F55-E55</f>
        <v>258.44140730665032</v>
      </c>
      <c r="H55" s="10"/>
      <c r="L55" s="10"/>
      <c r="M55" s="10"/>
      <c r="N55" s="10"/>
      <c r="O55" s="10"/>
      <c r="P55" s="10"/>
      <c r="Q55" s="10"/>
      <c r="R55" s="10"/>
    </row>
    <row r="56" spans="1:18" x14ac:dyDescent="0.25">
      <c r="A56" s="6" t="s">
        <v>103</v>
      </c>
      <c r="B56" s="10" t="s">
        <v>107</v>
      </c>
      <c r="C56" s="10" t="s">
        <v>98</v>
      </c>
      <c r="D56" s="10" t="s">
        <v>99</v>
      </c>
      <c r="E56" s="10" t="s">
        <v>100</v>
      </c>
      <c r="F56" s="10" t="s">
        <v>101</v>
      </c>
      <c r="G56" s="10" t="s">
        <v>102</v>
      </c>
      <c r="H56" s="10" t="s">
        <v>83</v>
      </c>
      <c r="L56" s="10"/>
      <c r="M56" s="10"/>
      <c r="N56" s="10"/>
      <c r="O56" s="10"/>
      <c r="P56" s="10"/>
      <c r="Q56" s="10"/>
      <c r="R56" s="10"/>
    </row>
    <row r="57" spans="1:18" x14ac:dyDescent="0.25">
      <c r="B57" s="10">
        <f>SUM(B45:B55)</f>
        <v>8045.7862858820754</v>
      </c>
      <c r="C57" s="10">
        <f t="shared" ref="C57" si="26">SUM(C45:C55)</f>
        <v>11124</v>
      </c>
      <c r="D57" s="10">
        <f>SUM(D45:D55)</f>
        <v>3078.2137141179246</v>
      </c>
      <c r="E57" s="10">
        <f>SUM(E45:E55)</f>
        <v>6108.4040364558859</v>
      </c>
      <c r="F57" s="10">
        <f>SUM(F45:F55)</f>
        <v>7931.0298596995062</v>
      </c>
      <c r="G57" s="10">
        <f>SUM(G45:G55)</f>
        <v>1822.6258232436205</v>
      </c>
      <c r="H57" s="10">
        <f>G57/(1-(1/(1+$B$1))^(A55))</f>
        <v>4127.2741533976086</v>
      </c>
      <c r="L57" s="10"/>
      <c r="M57" s="10"/>
      <c r="N57" s="10"/>
      <c r="O57" s="10"/>
      <c r="P57" s="10"/>
      <c r="Q57" s="10"/>
      <c r="R57" s="10"/>
    </row>
    <row r="58" spans="1:18" x14ac:dyDescent="0.25">
      <c r="B58" s="10" t="s">
        <v>104</v>
      </c>
      <c r="C58" s="10">
        <v>1641.4215478428662</v>
      </c>
      <c r="D58" s="10"/>
      <c r="E58" s="10"/>
      <c r="F58" s="10"/>
      <c r="G58" s="10"/>
      <c r="H58" s="10"/>
      <c r="L58" s="10"/>
      <c r="M58" s="10"/>
      <c r="N58" s="10"/>
      <c r="O58" s="10"/>
      <c r="P58" s="10"/>
      <c r="Q58" s="10"/>
      <c r="R58" s="10"/>
    </row>
    <row r="59" spans="1:18" x14ac:dyDescent="0.25">
      <c r="A59" s="1" t="s">
        <v>127</v>
      </c>
      <c r="B59" s="10"/>
      <c r="C59" s="10"/>
      <c r="D59" s="10"/>
      <c r="E59" s="10"/>
      <c r="F59" s="10"/>
      <c r="G59" s="10"/>
      <c r="H59" s="10"/>
      <c r="L59" s="10"/>
      <c r="M59" s="10"/>
      <c r="N59" s="10"/>
      <c r="O59" s="10"/>
      <c r="P59" s="10"/>
      <c r="Q59" s="10"/>
      <c r="R59" s="10"/>
    </row>
    <row r="60" spans="1:18" x14ac:dyDescent="0.25">
      <c r="A60" s="6" t="s">
        <v>78</v>
      </c>
      <c r="B60" s="10" t="s">
        <v>107</v>
      </c>
      <c r="C60" s="10" t="s">
        <v>98</v>
      </c>
      <c r="D60" s="10" t="s">
        <v>99</v>
      </c>
      <c r="E60" s="10" t="s">
        <v>100</v>
      </c>
      <c r="F60" s="10" t="s">
        <v>101</v>
      </c>
      <c r="G60" s="10" t="s">
        <v>102</v>
      </c>
      <c r="H60" s="10"/>
      <c r="L60" s="10"/>
      <c r="M60" s="10"/>
      <c r="N60" s="10"/>
      <c r="O60" s="10"/>
      <c r="P60" s="10"/>
      <c r="Q60" s="10"/>
      <c r="R60" s="10"/>
    </row>
    <row r="61" spans="1:18" x14ac:dyDescent="0.25">
      <c r="A61" s="6">
        <v>0</v>
      </c>
      <c r="B61" s="10">
        <v>1757.8130404040403</v>
      </c>
      <c r="C61" s="10">
        <v>0</v>
      </c>
      <c r="D61" s="10">
        <f>C61-B61</f>
        <v>-1757.8130404040403</v>
      </c>
      <c r="E61" s="10">
        <f>B61/(1+$B$1)^$A61</f>
        <v>1757.8130404040403</v>
      </c>
      <c r="F61" s="10">
        <f>C61/(1+$B$1)^$A61</f>
        <v>0</v>
      </c>
      <c r="G61" s="10">
        <f>F61-E61</f>
        <v>-1757.8130404040403</v>
      </c>
      <c r="H61" s="10"/>
      <c r="L61" s="10"/>
      <c r="M61" s="10"/>
      <c r="N61" s="10"/>
      <c r="O61" s="10"/>
      <c r="P61" s="10"/>
      <c r="Q61" s="10"/>
      <c r="R61" s="10"/>
    </row>
    <row r="62" spans="1:18" x14ac:dyDescent="0.25">
      <c r="A62" s="6">
        <v>1</v>
      </c>
      <c r="B62" s="10">
        <v>88.968222222222209</v>
      </c>
      <c r="C62" s="10">
        <v>0</v>
      </c>
      <c r="D62" s="10">
        <f>C62-B62</f>
        <v>-88.968222222222209</v>
      </c>
      <c r="E62" s="10">
        <f>B62/(1+$B$1)^$A62</f>
        <v>83.932285115303969</v>
      </c>
      <c r="F62" s="10">
        <f t="shared" ref="F62:F64" si="27">C62/(1+$B$1)^$A62</f>
        <v>0</v>
      </c>
      <c r="G62" s="10">
        <f>F62-E62</f>
        <v>-83.932285115303969</v>
      </c>
      <c r="H62" s="10"/>
      <c r="L62" s="10"/>
      <c r="M62" s="10"/>
      <c r="N62" s="10"/>
      <c r="O62" s="10"/>
      <c r="P62" s="10"/>
      <c r="Q62" s="10"/>
      <c r="R62" s="10"/>
    </row>
    <row r="63" spans="1:18" x14ac:dyDescent="0.25">
      <c r="A63" s="6">
        <v>2</v>
      </c>
      <c r="B63" s="10">
        <v>742.82444444444434</v>
      </c>
      <c r="C63" s="10">
        <f>Työkaluvälilehti!$B$12*(A63-A62)*Työkaluvälilehti!$B$7</f>
        <v>1236</v>
      </c>
      <c r="D63" s="10">
        <f t="shared" ref="D63:D64" si="28">C63-B63</f>
        <v>493.17555555555566</v>
      </c>
      <c r="E63" s="10">
        <f t="shared" ref="E63:F70" si="29">B63/(1+$B$1)^$A63</f>
        <v>661.11111111111097</v>
      </c>
      <c r="F63" s="10">
        <f t="shared" si="27"/>
        <v>1100.0355998576003</v>
      </c>
      <c r="G63" s="10">
        <f t="shared" ref="G63:G64" si="30">F63-E63</f>
        <v>438.92448874648937</v>
      </c>
      <c r="H63" s="10"/>
      <c r="L63" s="10"/>
      <c r="M63" s="10"/>
      <c r="N63" s="10"/>
      <c r="O63" s="10"/>
      <c r="P63" s="10"/>
      <c r="Q63" s="10"/>
      <c r="R63" s="10"/>
    </row>
    <row r="64" spans="1:18" x14ac:dyDescent="0.25">
      <c r="A64" s="6">
        <v>3</v>
      </c>
      <c r="B64" s="10">
        <v>742.82444444444434</v>
      </c>
      <c r="C64" s="10">
        <f>Työkaluvälilehti!$B$12*(A64-A63)*Työkaluvälilehti!$B$7</f>
        <v>1236</v>
      </c>
      <c r="D64" s="10">
        <f t="shared" si="28"/>
        <v>493.17555555555566</v>
      </c>
      <c r="E64" s="10">
        <f t="shared" si="29"/>
        <v>623.68972746331212</v>
      </c>
      <c r="F64" s="10">
        <f t="shared" si="27"/>
        <v>1037.7694338279248</v>
      </c>
      <c r="G64" s="10">
        <f t="shared" si="30"/>
        <v>414.07970636461266</v>
      </c>
      <c r="H64" s="10"/>
      <c r="L64" s="10"/>
      <c r="M64" s="10"/>
      <c r="N64" s="10"/>
      <c r="O64" s="10"/>
      <c r="P64" s="10"/>
      <c r="Q64" s="10"/>
      <c r="R64" s="10"/>
    </row>
    <row r="65" spans="1:18" x14ac:dyDescent="0.25">
      <c r="A65" s="6">
        <v>4</v>
      </c>
      <c r="B65" s="10">
        <v>742.82444444444434</v>
      </c>
      <c r="C65" s="10">
        <f>Työkaluvälilehti!$B$12*(A65-A64)*Työkaluvälilehti!$B$7</f>
        <v>1236</v>
      </c>
      <c r="D65" s="10">
        <f>C65-B65</f>
        <v>493.17555555555566</v>
      </c>
      <c r="E65" s="10">
        <f t="shared" si="29"/>
        <v>588.38653534274727</v>
      </c>
      <c r="F65" s="10">
        <f t="shared" si="29"/>
        <v>979.02776776219321</v>
      </c>
      <c r="G65" s="10">
        <f>F65-E65</f>
        <v>390.64123241944594</v>
      </c>
      <c r="H65" s="10"/>
      <c r="L65" s="10"/>
      <c r="M65" s="10"/>
      <c r="N65" s="10"/>
      <c r="O65" s="10"/>
      <c r="P65" s="10"/>
      <c r="Q65" s="10"/>
      <c r="R65" s="10"/>
    </row>
    <row r="66" spans="1:18" x14ac:dyDescent="0.25">
      <c r="A66" s="6">
        <v>5</v>
      </c>
      <c r="B66" s="10">
        <v>1839.2540869156685</v>
      </c>
      <c r="C66" s="10">
        <f>Työkaluvälilehti!$B$12*(A66-A65)*Työkaluvälilehti!$B$7</f>
        <v>1236</v>
      </c>
      <c r="D66" s="10">
        <f>C66-B66</f>
        <v>-603.25408691566849</v>
      </c>
      <c r="E66" s="10">
        <f t="shared" si="29"/>
        <v>1374.3976484250302</v>
      </c>
      <c r="F66" s="10">
        <f t="shared" si="29"/>
        <v>923.61110166244634</v>
      </c>
      <c r="G66" s="10">
        <f>F66-E66</f>
        <v>-450.78654676258384</v>
      </c>
      <c r="H66" s="10"/>
      <c r="L66" s="10"/>
      <c r="M66" s="10"/>
      <c r="N66" s="10"/>
      <c r="O66" s="10"/>
      <c r="P66" s="10"/>
      <c r="Q66" s="10"/>
      <c r="R66" s="10"/>
    </row>
    <row r="67" spans="1:18" x14ac:dyDescent="0.25">
      <c r="A67" s="6">
        <v>6</v>
      </c>
      <c r="B67" s="10">
        <v>231.00444444444449</v>
      </c>
      <c r="C67" s="10">
        <v>0</v>
      </c>
      <c r="D67" s="10">
        <f>C67-B67</f>
        <v>-231.00444444444449</v>
      </c>
      <c r="E67" s="10">
        <f t="shared" si="29"/>
        <v>162.84901799952277</v>
      </c>
      <c r="F67" s="10">
        <f t="shared" si="29"/>
        <v>0</v>
      </c>
      <c r="G67" s="10">
        <f>F67-E67</f>
        <v>-162.84901799952277</v>
      </c>
      <c r="H67" s="10"/>
      <c r="L67" s="10"/>
      <c r="M67" s="10"/>
      <c r="N67" s="10"/>
      <c r="O67" s="10"/>
      <c r="P67" s="10"/>
      <c r="Q67" s="10"/>
      <c r="R67" s="10"/>
    </row>
    <row r="68" spans="1:18" x14ac:dyDescent="0.25">
      <c r="A68" s="6">
        <v>7</v>
      </c>
      <c r="B68" s="10">
        <v>742.82444444444434</v>
      </c>
      <c r="C68" s="10">
        <f>Työkaluvälilehti!$B$12*(A68-A67)*Työkaluvälilehti!$B$7</f>
        <v>1236</v>
      </c>
      <c r="D68" s="10">
        <f t="shared" ref="D68:D69" si="31">C68-B68</f>
        <v>493.17555555555566</v>
      </c>
      <c r="E68" s="10">
        <f>B68/(1+$B$1)^$A68</f>
        <v>494.02068095033746</v>
      </c>
      <c r="F68" s="10">
        <f t="shared" si="29"/>
        <v>822.01059243720738</v>
      </c>
      <c r="G68" s="10">
        <f>F68-E68</f>
        <v>327.98991148686991</v>
      </c>
      <c r="H68" s="10"/>
      <c r="L68" s="10"/>
      <c r="M68" s="10"/>
      <c r="N68" s="10"/>
      <c r="O68" s="10"/>
      <c r="P68" s="10"/>
      <c r="Q68" s="10"/>
      <c r="R68" s="10"/>
    </row>
    <row r="69" spans="1:18" x14ac:dyDescent="0.25">
      <c r="A69" s="6">
        <v>8</v>
      </c>
      <c r="B69" s="10">
        <v>742.82444444444434</v>
      </c>
      <c r="C69" s="10">
        <f>Työkaluvälilehti!$B$12*(A69-A68)*Työkaluvälilehti!$B$7</f>
        <v>1236</v>
      </c>
      <c r="D69" s="10">
        <f t="shared" si="31"/>
        <v>493.17555555555566</v>
      </c>
      <c r="E69" s="10">
        <f t="shared" ref="E69" si="32">B69/(1+$B$1)^$A69</f>
        <v>466.05724617956366</v>
      </c>
      <c r="F69" s="10">
        <f t="shared" si="29"/>
        <v>775.48169097849757</v>
      </c>
      <c r="G69" s="10">
        <f t="shared" ref="G69:G70" si="33">F69-E69</f>
        <v>309.42444479893391</v>
      </c>
      <c r="H69" s="10"/>
      <c r="L69" s="10"/>
      <c r="M69" s="10"/>
      <c r="N69" s="10"/>
      <c r="O69" s="10"/>
      <c r="P69" s="10"/>
      <c r="Q69" s="10"/>
      <c r="R69" s="10"/>
    </row>
    <row r="70" spans="1:18" x14ac:dyDescent="0.25">
      <c r="A70" s="6">
        <v>9</v>
      </c>
      <c r="B70" s="10">
        <v>742.82444444444434</v>
      </c>
      <c r="C70" s="10">
        <f>Työkaluvälilehti!$B$12*(A70-A69)*Työkaluvälilehti!$B$7</f>
        <v>1236</v>
      </c>
      <c r="D70" s="10">
        <f>C70-B70</f>
        <v>493.17555555555566</v>
      </c>
      <c r="E70" s="10">
        <f>B70/(1+$B$1)^$A70</f>
        <v>439.676647339211</v>
      </c>
      <c r="F70" s="10">
        <f t="shared" si="29"/>
        <v>731.58650092311086</v>
      </c>
      <c r="G70" s="10">
        <f t="shared" si="33"/>
        <v>291.90985358389986</v>
      </c>
      <c r="H70" s="10"/>
      <c r="L70" s="10"/>
      <c r="M70" s="10"/>
      <c r="N70" s="10"/>
      <c r="O70" s="10"/>
      <c r="P70" s="10"/>
      <c r="Q70" s="10"/>
      <c r="R70" s="10"/>
    </row>
    <row r="71" spans="1:18" x14ac:dyDescent="0.25">
      <c r="A71" s="6">
        <v>10</v>
      </c>
      <c r="B71" s="10">
        <v>580.61937984496126</v>
      </c>
      <c r="C71" s="10">
        <f>Työkaluvälilehti!$B$12*(A71-A70)*Työkaluvälilehti!$B$7</f>
        <v>1236</v>
      </c>
      <c r="D71" s="10">
        <f>C71-B71</f>
        <v>655.38062015503874</v>
      </c>
      <c r="E71" s="10">
        <f>B71/(1+$B$1)^$A71</f>
        <v>324.21482908112125</v>
      </c>
      <c r="F71" s="10">
        <f>C71/(1+$B$1)^$A71</f>
        <v>690.1759442670857</v>
      </c>
      <c r="G71" s="10">
        <f>F71-E71</f>
        <v>365.96111518596445</v>
      </c>
      <c r="H71" s="10"/>
      <c r="L71" s="10"/>
      <c r="M71" s="10"/>
      <c r="N71" s="10"/>
      <c r="O71" s="10"/>
      <c r="P71" s="10"/>
      <c r="Q71" s="10"/>
      <c r="R71" s="10"/>
    </row>
    <row r="72" spans="1:18" x14ac:dyDescent="0.25">
      <c r="A72" s="6" t="s">
        <v>103</v>
      </c>
      <c r="B72" s="10" t="s">
        <v>107</v>
      </c>
      <c r="C72" s="10" t="s">
        <v>98</v>
      </c>
      <c r="D72" s="10" t="s">
        <v>99</v>
      </c>
      <c r="E72" s="10" t="s">
        <v>100</v>
      </c>
      <c r="F72" s="10" t="s">
        <v>101</v>
      </c>
      <c r="G72" s="10" t="s">
        <v>102</v>
      </c>
      <c r="H72" s="10" t="s">
        <v>83</v>
      </c>
      <c r="L72" s="10"/>
      <c r="M72" s="10"/>
      <c r="N72" s="10"/>
      <c r="O72" s="10"/>
      <c r="P72" s="10"/>
      <c r="Q72" s="10"/>
      <c r="R72" s="10"/>
    </row>
    <row r="73" spans="1:18" x14ac:dyDescent="0.25">
      <c r="B73" s="10">
        <f>SUM(B61:B71)</f>
        <v>8954.6058404980031</v>
      </c>
      <c r="C73" s="10">
        <f t="shared" ref="C73:G73" si="34">SUM(C61:C71)</f>
        <v>9888</v>
      </c>
      <c r="D73" s="10">
        <f t="shared" si="34"/>
        <v>933.39415950199702</v>
      </c>
      <c r="E73" s="10">
        <f t="shared" si="34"/>
        <v>6976.1487694113011</v>
      </c>
      <c r="F73" s="10">
        <f t="shared" si="34"/>
        <v>7059.6986317160663</v>
      </c>
      <c r="G73" s="10">
        <f t="shared" si="34"/>
        <v>83.549862304765099</v>
      </c>
      <c r="H73" s="10">
        <f>G73/(1-(1/(1+$B$1))^(A71))</f>
        <v>189.19582001571047</v>
      </c>
      <c r="L73" s="10"/>
      <c r="M73" s="10"/>
      <c r="N73" s="10"/>
      <c r="O73" s="10"/>
      <c r="P73" s="10"/>
      <c r="Q73" s="10"/>
      <c r="R73" s="10"/>
    </row>
    <row r="74" spans="1:18" x14ac:dyDescent="0.25">
      <c r="B74" s="10" t="s">
        <v>104</v>
      </c>
      <c r="C74" s="10">
        <v>1639.3209567206075</v>
      </c>
      <c r="D74" s="10"/>
      <c r="E74" s="10"/>
      <c r="F74" s="10"/>
      <c r="G74" s="10"/>
      <c r="H74" s="10"/>
      <c r="L74" s="10"/>
      <c r="M74" s="10"/>
      <c r="N74" s="10"/>
      <c r="O74" s="10"/>
      <c r="P74" s="10"/>
      <c r="Q74" s="10"/>
      <c r="R74" s="10"/>
    </row>
    <row r="75" spans="1:18" x14ac:dyDescent="0.25">
      <c r="A75" s="6" t="s">
        <v>72</v>
      </c>
      <c r="B75" s="10"/>
      <c r="C75" s="10"/>
      <c r="D75" s="10"/>
      <c r="E75" s="10"/>
      <c r="F75" s="10"/>
      <c r="G75" s="10"/>
      <c r="H75" s="10"/>
      <c r="L75" s="10"/>
      <c r="M75" s="10"/>
      <c r="N75" s="10"/>
      <c r="O75" s="10"/>
      <c r="P75" s="10"/>
      <c r="Q75" s="10"/>
      <c r="R75" s="10"/>
    </row>
    <row r="76" spans="1:18" x14ac:dyDescent="0.25">
      <c r="A76" s="6" t="s">
        <v>78</v>
      </c>
      <c r="B76" s="10" t="s">
        <v>107</v>
      </c>
      <c r="C76" s="10" t="s">
        <v>98</v>
      </c>
      <c r="D76" s="10" t="s">
        <v>99</v>
      </c>
      <c r="E76" s="10" t="s">
        <v>100</v>
      </c>
      <c r="F76" s="10" t="s">
        <v>101</v>
      </c>
      <c r="G76" s="10" t="s">
        <v>102</v>
      </c>
      <c r="H76" s="10"/>
      <c r="L76" s="10"/>
      <c r="M76" s="10"/>
      <c r="N76" s="10"/>
      <c r="O76" s="10"/>
      <c r="P76" s="10"/>
      <c r="Q76" s="10"/>
      <c r="R76" s="10"/>
    </row>
    <row r="77" spans="1:18" x14ac:dyDescent="0.25">
      <c r="A77" s="6">
        <v>0</v>
      </c>
      <c r="B77" s="10">
        <v>1241.0517070707067</v>
      </c>
      <c r="C77" s="10">
        <v>0</v>
      </c>
      <c r="D77" s="10">
        <f>C77-B77</f>
        <v>-1241.0517070707067</v>
      </c>
      <c r="E77" s="10">
        <f>B77/(1+$B$1)^$A77</f>
        <v>1241.0517070707067</v>
      </c>
      <c r="F77" s="10">
        <f>C77/(1+$B$1)^$A77</f>
        <v>0</v>
      </c>
      <c r="G77" s="10">
        <f>F77-E77</f>
        <v>-1241.0517070707067</v>
      </c>
      <c r="H77" s="10"/>
      <c r="L77" s="10"/>
      <c r="M77" s="10"/>
      <c r="N77" s="10"/>
      <c r="O77" s="10"/>
      <c r="P77" s="10"/>
      <c r="Q77" s="10"/>
      <c r="R77" s="10"/>
    </row>
    <row r="78" spans="1:18" x14ac:dyDescent="0.25">
      <c r="A78" s="6">
        <v>1</v>
      </c>
      <c r="B78" s="10">
        <v>655.17603864734315</v>
      </c>
      <c r="C78" s="10">
        <f>Työkaluvälilehti!$B$12*(A79-A78)*Työkaluvälilehti!$B$3</f>
        <v>960</v>
      </c>
      <c r="D78" s="10">
        <f>C78-B78</f>
        <v>304.82396135265685</v>
      </c>
      <c r="E78" s="10">
        <f>B78/(1+$B$1)^$A78</f>
        <v>618.09060249749348</v>
      </c>
      <c r="F78" s="10">
        <f t="shared" ref="F78:F80" si="35">C78/(1+$B$1)^$A78</f>
        <v>905.66037735849056</v>
      </c>
      <c r="G78" s="10">
        <f>F78-E78</f>
        <v>287.56977486099709</v>
      </c>
      <c r="H78" s="10"/>
      <c r="L78" s="10"/>
      <c r="M78" s="10"/>
      <c r="N78" s="10"/>
      <c r="O78" s="10"/>
      <c r="P78" s="10"/>
      <c r="Q78" s="10"/>
      <c r="R78" s="10"/>
    </row>
    <row r="79" spans="1:18" x14ac:dyDescent="0.25">
      <c r="A79" s="6">
        <v>2</v>
      </c>
      <c r="B79" s="10">
        <v>655.17603864734315</v>
      </c>
      <c r="C79" s="10">
        <f>Työkaluvälilehti!$B$12*(A79-A78)*Työkaluvälilehti!$B$3</f>
        <v>960</v>
      </c>
      <c r="D79" s="10">
        <f t="shared" ref="D79:D80" si="36">C79-B79</f>
        <v>304.82396135265685</v>
      </c>
      <c r="E79" s="10">
        <f t="shared" ref="E79:F86" si="37">B79/(1+$B$1)^$A79</f>
        <v>583.10434197876737</v>
      </c>
      <c r="F79" s="10">
        <f t="shared" si="35"/>
        <v>854.39658241367022</v>
      </c>
      <c r="G79" s="10">
        <f t="shared" ref="G79:G80" si="38">F79-E79</f>
        <v>271.29224043490285</v>
      </c>
      <c r="H79" s="10"/>
      <c r="L79" s="10"/>
      <c r="M79" s="10"/>
      <c r="N79" s="10"/>
      <c r="O79" s="10"/>
      <c r="P79" s="10"/>
      <c r="Q79" s="10"/>
      <c r="R79" s="10"/>
    </row>
    <row r="80" spans="1:18" x14ac:dyDescent="0.25">
      <c r="A80" s="6">
        <v>3</v>
      </c>
      <c r="B80" s="10">
        <v>655.17603864734315</v>
      </c>
      <c r="C80" s="10">
        <f>Työkaluvälilehti!$B$12*(A80-A79)*Työkaluvälilehti!$B$3</f>
        <v>960</v>
      </c>
      <c r="D80" s="10">
        <f t="shared" si="36"/>
        <v>304.82396135265685</v>
      </c>
      <c r="E80" s="10">
        <f t="shared" si="37"/>
        <v>550.09843582902579</v>
      </c>
      <c r="F80" s="10">
        <f t="shared" si="35"/>
        <v>806.0345117110096</v>
      </c>
      <c r="G80" s="10">
        <f t="shared" si="38"/>
        <v>255.93607588198381</v>
      </c>
      <c r="H80" s="10"/>
      <c r="L80" s="10"/>
      <c r="M80" s="10"/>
      <c r="N80" s="10"/>
      <c r="O80" s="10"/>
      <c r="P80" s="10"/>
      <c r="Q80" s="10"/>
      <c r="R80" s="10"/>
    </row>
    <row r="81" spans="1:18" x14ac:dyDescent="0.25">
      <c r="A81" s="6">
        <v>4</v>
      </c>
      <c r="B81" s="10">
        <v>655.17603864734315</v>
      </c>
      <c r="C81" s="10">
        <f>Työkaluvälilehti!$B$12*(A81-A80)*Työkaluvälilehti!$B$3</f>
        <v>960</v>
      </c>
      <c r="D81" s="10">
        <f>C81-B81</f>
        <v>304.82396135265685</v>
      </c>
      <c r="E81" s="10">
        <f t="shared" si="37"/>
        <v>518.96078851794891</v>
      </c>
      <c r="F81" s="10">
        <f t="shared" si="37"/>
        <v>760.40991670849962</v>
      </c>
      <c r="G81" s="10">
        <f>F81-E81</f>
        <v>241.44912819055071</v>
      </c>
      <c r="H81" s="10"/>
      <c r="L81" s="10"/>
      <c r="M81" s="10"/>
      <c r="N81" s="10"/>
      <c r="O81" s="10"/>
      <c r="P81" s="10"/>
      <c r="Q81" s="10"/>
      <c r="R81" s="10"/>
    </row>
    <row r="82" spans="1:18" x14ac:dyDescent="0.25">
      <c r="A82" s="6">
        <v>5</v>
      </c>
      <c r="B82" s="10">
        <v>655.17603864734315</v>
      </c>
      <c r="C82" s="10">
        <f>Työkaluvälilehti!$B$12*(A82-A81)*Työkaluvälilehti!$B$3</f>
        <v>960</v>
      </c>
      <c r="D82" s="10">
        <f>C82-B82</f>
        <v>304.82396135265685</v>
      </c>
      <c r="E82" s="10">
        <f t="shared" si="37"/>
        <v>489.58564954523473</v>
      </c>
      <c r="F82" s="10">
        <f t="shared" si="37"/>
        <v>717.36784595141467</v>
      </c>
      <c r="G82" s="10">
        <f>F82-E82</f>
        <v>227.78219640617993</v>
      </c>
      <c r="H82" s="10"/>
      <c r="L82" s="10"/>
      <c r="M82" s="10"/>
      <c r="N82" s="10"/>
      <c r="O82" s="10"/>
      <c r="P82" s="10"/>
      <c r="Q82" s="10"/>
      <c r="R82" s="10"/>
    </row>
    <row r="83" spans="1:18" x14ac:dyDescent="0.25">
      <c r="A83" s="6">
        <v>6</v>
      </c>
      <c r="B83" s="10">
        <v>655.17603864734315</v>
      </c>
      <c r="C83" s="10">
        <f>Työkaluvälilehti!$B$12*(A83-A82)*Työkaluvälilehti!$B$3</f>
        <v>960</v>
      </c>
      <c r="D83" s="10">
        <f>C83-B83</f>
        <v>304.82396135265685</v>
      </c>
      <c r="E83" s="10">
        <f t="shared" si="37"/>
        <v>461.87325428795725</v>
      </c>
      <c r="F83" s="10">
        <f t="shared" si="37"/>
        <v>676.76211882208918</v>
      </c>
      <c r="G83" s="10">
        <f>F83-E83</f>
        <v>214.88886453413193</v>
      </c>
      <c r="H83" s="10"/>
      <c r="L83" s="10"/>
      <c r="M83" s="10"/>
      <c r="N83" s="10"/>
      <c r="O83" s="10"/>
      <c r="P83" s="10"/>
      <c r="Q83" s="10"/>
      <c r="R83" s="10"/>
    </row>
    <row r="84" spans="1:18" x14ac:dyDescent="0.25">
      <c r="A84" s="6">
        <v>7</v>
      </c>
      <c r="B84" s="10">
        <v>655.17603864734315</v>
      </c>
      <c r="C84" s="10">
        <f>Työkaluvälilehti!$B$12*(A84-A83)*Työkaluvälilehti!$B$3</f>
        <v>960</v>
      </c>
      <c r="D84" s="10">
        <f t="shared" ref="D84:D85" si="39">C84-B84</f>
        <v>304.82396135265685</v>
      </c>
      <c r="E84" s="10">
        <f>B84/(1+$B$1)^$A84</f>
        <v>435.72948517731811</v>
      </c>
      <c r="F84" s="10">
        <f t="shared" si="37"/>
        <v>638.45482907744258</v>
      </c>
      <c r="G84" s="10">
        <f>F84-E84</f>
        <v>202.72534390012447</v>
      </c>
      <c r="H84" s="10"/>
      <c r="L84" s="10"/>
      <c r="M84" s="10"/>
      <c r="N84" s="10"/>
      <c r="O84" s="10"/>
      <c r="P84" s="10"/>
      <c r="Q84" s="10"/>
      <c r="R84" s="10"/>
    </row>
    <row r="85" spans="1:18" x14ac:dyDescent="0.25">
      <c r="A85" s="6">
        <v>8</v>
      </c>
      <c r="B85" s="10">
        <v>655.17603864734315</v>
      </c>
      <c r="C85" s="10">
        <f>Työkaluvälilehti!$B$12*(A85-A84)*Työkaluvälilehti!$B$3</f>
        <v>960</v>
      </c>
      <c r="D85" s="10">
        <f t="shared" si="39"/>
        <v>304.82396135265685</v>
      </c>
      <c r="E85" s="10">
        <f t="shared" ref="E85" si="40">B85/(1+$B$1)^$A85</f>
        <v>411.06555205407375</v>
      </c>
      <c r="F85" s="10">
        <f t="shared" si="37"/>
        <v>602.31587648815344</v>
      </c>
      <c r="G85" s="10">
        <f t="shared" ref="G85:G86" si="41">F85-E85</f>
        <v>191.25032443407969</v>
      </c>
      <c r="H85" s="10"/>
      <c r="L85" s="10"/>
      <c r="M85" s="10"/>
      <c r="N85" s="10"/>
      <c r="O85" s="10"/>
      <c r="P85" s="10"/>
      <c r="Q85" s="10"/>
      <c r="R85" s="10"/>
    </row>
    <row r="86" spans="1:18" x14ac:dyDescent="0.25">
      <c r="A86" s="6">
        <v>9</v>
      </c>
      <c r="B86" s="10">
        <v>655.17603864734315</v>
      </c>
      <c r="C86" s="10">
        <f>Työkaluvälilehti!$B$12*(A86-A85)*Työkaluvälilehti!$B$3</f>
        <v>960</v>
      </c>
      <c r="D86" s="10">
        <f>C86-B86</f>
        <v>304.82396135265685</v>
      </c>
      <c r="E86" s="10">
        <f>B86/(1+$B$1)^$A86</f>
        <v>387.7976906170507</v>
      </c>
      <c r="F86" s="10">
        <f t="shared" si="37"/>
        <v>568.22252498882403</v>
      </c>
      <c r="G86" s="10">
        <f t="shared" si="41"/>
        <v>180.42483437177333</v>
      </c>
      <c r="H86" s="10"/>
      <c r="L86" s="10"/>
      <c r="M86" s="10"/>
      <c r="N86" s="10"/>
      <c r="O86" s="10"/>
      <c r="P86" s="10"/>
      <c r="Q86" s="10"/>
      <c r="R86" s="10"/>
    </row>
    <row r="87" spans="1:18" x14ac:dyDescent="0.25">
      <c r="A87" s="6">
        <v>10</v>
      </c>
      <c r="B87" s="10">
        <v>685.52239523649041</v>
      </c>
      <c r="C87" s="10">
        <f>Työkaluvälilehti!$B$12*(A87-A86)*Työkaluvälilehti!$B$3</f>
        <v>960</v>
      </c>
      <c r="D87" s="10">
        <f>C87-B87</f>
        <v>274.47760476350959</v>
      </c>
      <c r="E87" s="10">
        <f>B87/(1+$B$1)^$A87</f>
        <v>382.79212495839732</v>
      </c>
      <c r="F87" s="10">
        <f>C87/(1+$B$1)^$A87</f>
        <v>536.05898583851319</v>
      </c>
      <c r="G87" s="10">
        <f>F87-E87</f>
        <v>153.26686088011587</v>
      </c>
      <c r="H87" s="10"/>
      <c r="L87" s="10"/>
      <c r="M87" s="10"/>
      <c r="N87" s="10"/>
      <c r="O87" s="10"/>
      <c r="P87" s="10"/>
      <c r="Q87" s="10"/>
      <c r="R87" s="10"/>
    </row>
    <row r="88" spans="1:18" x14ac:dyDescent="0.25">
      <c r="A88" s="6" t="s">
        <v>103</v>
      </c>
      <c r="B88" s="10" t="s">
        <v>107</v>
      </c>
      <c r="C88" s="10" t="s">
        <v>98</v>
      </c>
      <c r="D88" s="10" t="s">
        <v>99</v>
      </c>
      <c r="E88" s="10" t="s">
        <v>100</v>
      </c>
      <c r="F88" s="10" t="s">
        <v>101</v>
      </c>
      <c r="G88" s="10" t="s">
        <v>102</v>
      </c>
      <c r="H88" s="10" t="s">
        <v>83</v>
      </c>
      <c r="L88" s="10"/>
      <c r="M88" s="10"/>
      <c r="N88" s="10"/>
      <c r="O88" s="10"/>
      <c r="P88" s="10"/>
      <c r="Q88" s="10"/>
      <c r="R88" s="10"/>
    </row>
    <row r="89" spans="1:18" x14ac:dyDescent="0.25">
      <c r="B89" s="10">
        <f>SUM(B77:B87)</f>
        <v>7823.1584501332873</v>
      </c>
      <c r="C89" s="10">
        <f t="shared" ref="C89:G89" si="42">SUM(C77:C87)</f>
        <v>9600</v>
      </c>
      <c r="D89" s="10">
        <f>SUM(D77:D87)</f>
        <v>1776.8415498667146</v>
      </c>
      <c r="E89" s="10">
        <f t="shared" si="42"/>
        <v>6080.1496325339749</v>
      </c>
      <c r="F89" s="10">
        <f t="shared" si="42"/>
        <v>7065.6835693581079</v>
      </c>
      <c r="G89" s="10">
        <f t="shared" si="42"/>
        <v>985.53393682413298</v>
      </c>
      <c r="H89" s="10">
        <f>G89/(1-(1/(1+$B$1))^(A87))</f>
        <v>2231.7080625531917</v>
      </c>
      <c r="L89" s="10"/>
      <c r="M89" s="10"/>
      <c r="N89" s="10"/>
      <c r="O89" s="10"/>
      <c r="P89" s="10"/>
      <c r="Q89" s="10"/>
      <c r="R89" s="10"/>
    </row>
    <row r="90" spans="1:18" x14ac:dyDescent="0.25">
      <c r="B90" s="10" t="s">
        <v>104</v>
      </c>
      <c r="C90" s="10">
        <v>1610.3158450133287</v>
      </c>
      <c r="D90" s="10"/>
      <c r="E90" s="10"/>
      <c r="F90" s="10"/>
      <c r="G90" s="10"/>
      <c r="H90" s="10"/>
      <c r="L90" s="10"/>
      <c r="M90" s="10"/>
      <c r="N90" s="10"/>
      <c r="O90" s="10"/>
      <c r="P90" s="10"/>
      <c r="Q90" s="10"/>
      <c r="R90" s="10"/>
    </row>
    <row r="91" spans="1:18" x14ac:dyDescent="0.25">
      <c r="A91" s="6" t="s">
        <v>74</v>
      </c>
      <c r="B91" s="10"/>
      <c r="C91" s="10"/>
      <c r="D91" s="10"/>
      <c r="E91" s="10"/>
      <c r="F91" s="10"/>
      <c r="G91" s="10"/>
      <c r="H91" s="10"/>
      <c r="L91" s="10"/>
      <c r="M91" s="10"/>
      <c r="N91" s="10"/>
      <c r="O91" s="10"/>
      <c r="P91" s="10"/>
      <c r="Q91" s="10"/>
      <c r="R91" s="10"/>
    </row>
    <row r="92" spans="1:18" x14ac:dyDescent="0.25">
      <c r="A92" s="6" t="s">
        <v>78</v>
      </c>
      <c r="B92" s="10" t="s">
        <v>107</v>
      </c>
      <c r="C92" s="10" t="s">
        <v>98</v>
      </c>
      <c r="D92" s="10" t="s">
        <v>99</v>
      </c>
      <c r="E92" s="10" t="s">
        <v>100</v>
      </c>
      <c r="F92" s="10" t="s">
        <v>101</v>
      </c>
      <c r="G92" s="10" t="s">
        <v>102</v>
      </c>
      <c r="H92" s="10"/>
      <c r="L92" s="10"/>
      <c r="M92" s="10"/>
      <c r="N92" s="10"/>
      <c r="O92" s="10"/>
      <c r="P92" s="10"/>
      <c r="Q92" s="10"/>
      <c r="R92" s="10"/>
    </row>
    <row r="93" spans="1:18" x14ac:dyDescent="0.25">
      <c r="A93" s="6">
        <v>0</v>
      </c>
      <c r="B93" s="10">
        <v>1241.0517070707067</v>
      </c>
      <c r="C93" s="10">
        <v>0</v>
      </c>
      <c r="D93" s="10">
        <f>C93-B93</f>
        <v>-1241.0517070707067</v>
      </c>
      <c r="E93" s="10">
        <f>B93/(1+$B$1)^$A93</f>
        <v>1241.0517070707067</v>
      </c>
      <c r="F93" s="10">
        <f>C93/(1+$B$1)^$A93</f>
        <v>0</v>
      </c>
      <c r="G93" s="10">
        <f>F93-E93</f>
        <v>-1241.0517070707067</v>
      </c>
      <c r="H93" s="10"/>
      <c r="L93" s="10"/>
      <c r="M93" s="10"/>
      <c r="N93" s="10"/>
      <c r="O93" s="10"/>
      <c r="P93" s="10"/>
      <c r="Q93" s="10"/>
      <c r="R93" s="10"/>
    </row>
    <row r="94" spans="1:18" x14ac:dyDescent="0.25">
      <c r="A94" s="6">
        <v>1</v>
      </c>
      <c r="B94" s="10">
        <v>88.968222222222209</v>
      </c>
      <c r="C94" s="10">
        <v>0</v>
      </c>
      <c r="D94" s="10">
        <f>C94-B94</f>
        <v>-88.968222222222209</v>
      </c>
      <c r="E94" s="10">
        <f>B94/(1+$B$1)^$A94</f>
        <v>83.932285115303969</v>
      </c>
      <c r="F94" s="10">
        <f t="shared" ref="F94:F96" si="43">C94/(1+$B$1)^$A94</f>
        <v>0</v>
      </c>
      <c r="G94" s="10">
        <f>F94-E94</f>
        <v>-83.932285115303969</v>
      </c>
      <c r="H94" s="10"/>
      <c r="L94" s="10"/>
      <c r="M94" s="10"/>
      <c r="N94" s="10"/>
      <c r="O94" s="10"/>
      <c r="P94" s="10"/>
      <c r="Q94" s="10"/>
      <c r="R94" s="10"/>
    </row>
    <row r="95" spans="1:18" x14ac:dyDescent="0.25">
      <c r="A95" s="6">
        <v>2</v>
      </c>
      <c r="B95" s="10">
        <v>976.66324361628699</v>
      </c>
      <c r="C95" s="10">
        <f>Työkaluvälilehti!$B$12*(A95-A94)*Työkaluvälilehti!$B$4</f>
        <v>1200</v>
      </c>
      <c r="D95" s="10">
        <f t="shared" ref="D95:D96" si="44">C95-B95</f>
        <v>223.33675638371301</v>
      </c>
      <c r="E95" s="10">
        <f t="shared" ref="E95:F102" si="45">B95/(1+$B$1)^$A95</f>
        <v>869.22680991125571</v>
      </c>
      <c r="F95" s="10">
        <f t="shared" si="43"/>
        <v>1067.9957280170877</v>
      </c>
      <c r="G95" s="10">
        <f t="shared" ref="G95:G96" si="46">F95-E95</f>
        <v>198.76891810583197</v>
      </c>
      <c r="H95" s="10"/>
      <c r="L95" s="10"/>
      <c r="M95" s="10"/>
      <c r="N95" s="10"/>
      <c r="O95" s="10"/>
      <c r="P95" s="10"/>
      <c r="Q95" s="10"/>
      <c r="R95" s="10"/>
    </row>
    <row r="96" spans="1:18" x14ac:dyDescent="0.25">
      <c r="A96" s="6">
        <v>3</v>
      </c>
      <c r="B96" s="10">
        <v>976.66324361628699</v>
      </c>
      <c r="C96" s="10">
        <f>Työkaluvälilehti!$B$12*(A96-A95)*Työkaluvälilehti!$B$4</f>
        <v>1200</v>
      </c>
      <c r="D96" s="10">
        <f t="shared" si="44"/>
        <v>223.33675638371301</v>
      </c>
      <c r="E96" s="10">
        <f t="shared" si="45"/>
        <v>820.02529236910902</v>
      </c>
      <c r="F96" s="10">
        <f t="shared" si="43"/>
        <v>1007.543139638762</v>
      </c>
      <c r="G96" s="10">
        <f t="shared" si="46"/>
        <v>187.51784726965298</v>
      </c>
      <c r="H96" s="10"/>
      <c r="L96" s="10"/>
      <c r="M96" s="10"/>
      <c r="N96" s="10"/>
      <c r="O96" s="10"/>
      <c r="P96" s="10"/>
      <c r="Q96" s="10"/>
      <c r="R96" s="10"/>
    </row>
    <row r="97" spans="1:18" x14ac:dyDescent="0.25">
      <c r="A97" s="6">
        <v>4</v>
      </c>
      <c r="B97" s="10">
        <v>976.66324361628699</v>
      </c>
      <c r="C97" s="10">
        <f>Työkaluvälilehti!$B$12*(A97-A96)*Työkaluvälilehti!$B$4</f>
        <v>1200</v>
      </c>
      <c r="D97" s="10">
        <f>C97-B97</f>
        <v>223.33675638371301</v>
      </c>
      <c r="E97" s="10">
        <f t="shared" si="45"/>
        <v>773.60876638595187</v>
      </c>
      <c r="F97" s="10">
        <f t="shared" si="45"/>
        <v>950.51239588562453</v>
      </c>
      <c r="G97" s="10">
        <f>F97-E97</f>
        <v>176.90362949967266</v>
      </c>
      <c r="H97" s="10"/>
      <c r="L97" s="10"/>
      <c r="M97" s="10"/>
      <c r="N97" s="10"/>
      <c r="O97" s="10"/>
      <c r="P97" s="10"/>
      <c r="Q97" s="10"/>
      <c r="R97" s="10"/>
    </row>
    <row r="98" spans="1:18" x14ac:dyDescent="0.25">
      <c r="A98" s="6">
        <v>5</v>
      </c>
      <c r="B98" s="10">
        <v>976.66324361628699</v>
      </c>
      <c r="C98" s="10">
        <f>Työkaluvälilehti!$B$12*(A98-A97)*Työkaluvälilehti!$B$4</f>
        <v>1200</v>
      </c>
      <c r="D98" s="10">
        <f>C98-B98</f>
        <v>223.33675638371301</v>
      </c>
      <c r="E98" s="10">
        <f t="shared" si="45"/>
        <v>729.81959093014325</v>
      </c>
      <c r="F98" s="10">
        <f t="shared" si="45"/>
        <v>896.70980743926827</v>
      </c>
      <c r="G98" s="10">
        <f>F98-E98</f>
        <v>166.89021650912503</v>
      </c>
      <c r="H98" s="10"/>
      <c r="L98" s="10"/>
      <c r="M98" s="10"/>
      <c r="N98" s="10"/>
      <c r="O98" s="10"/>
      <c r="P98" s="10"/>
      <c r="Q98" s="10"/>
      <c r="R98" s="10"/>
    </row>
    <row r="99" spans="1:18" x14ac:dyDescent="0.25">
      <c r="A99" s="6">
        <v>6</v>
      </c>
      <c r="B99" s="10">
        <v>976.66324361628699</v>
      </c>
      <c r="C99" s="10">
        <f>Työkaluvälilehti!$B$12*(A99-A98)*Työkaluvälilehti!$B$4</f>
        <v>1200</v>
      </c>
      <c r="D99" s="10">
        <f>C99-B99</f>
        <v>223.33675638371301</v>
      </c>
      <c r="E99" s="10">
        <f t="shared" si="45"/>
        <v>688.50904804730487</v>
      </c>
      <c r="F99" s="10">
        <f t="shared" si="45"/>
        <v>845.95264852761159</v>
      </c>
      <c r="G99" s="10">
        <f>F99-E99</f>
        <v>157.44360048030671</v>
      </c>
      <c r="H99" s="10"/>
      <c r="L99" s="10"/>
      <c r="M99" s="10"/>
      <c r="N99" s="10"/>
      <c r="O99" s="10"/>
      <c r="P99" s="10"/>
      <c r="Q99" s="10"/>
      <c r="R99" s="10"/>
    </row>
    <row r="100" spans="1:18" x14ac:dyDescent="0.25">
      <c r="A100" s="6">
        <v>7</v>
      </c>
      <c r="B100" s="10">
        <v>976.66324361628699</v>
      </c>
      <c r="C100" s="10">
        <f>Työkaluvälilehti!$B$12*(A100-A99)*Työkaluvälilehti!$B$4</f>
        <v>1200</v>
      </c>
      <c r="D100" s="10">
        <f t="shared" ref="D100:D101" si="47">C100-B100</f>
        <v>223.33675638371301</v>
      </c>
      <c r="E100" s="10">
        <f>B100/(1+$B$1)^$A100</f>
        <v>649.53683778047628</v>
      </c>
      <c r="F100" s="10">
        <f t="shared" si="45"/>
        <v>798.06853634680328</v>
      </c>
      <c r="G100" s="10">
        <f>F100-E100</f>
        <v>148.53169856632701</v>
      </c>
      <c r="H100" s="10"/>
      <c r="L100" s="10"/>
      <c r="M100" s="10"/>
      <c r="N100" s="10"/>
      <c r="O100" s="10"/>
      <c r="P100" s="10"/>
      <c r="Q100" s="10"/>
      <c r="R100" s="10"/>
    </row>
    <row r="101" spans="1:18" x14ac:dyDescent="0.25">
      <c r="A101" s="6">
        <v>8</v>
      </c>
      <c r="B101" s="10">
        <v>976.66324361628699</v>
      </c>
      <c r="C101" s="10">
        <f>Työkaluvälilehti!$B$12*(A101-A100)*Työkaluvälilehti!$B$4</f>
        <v>1200</v>
      </c>
      <c r="D101" s="10">
        <f t="shared" si="47"/>
        <v>223.33675638371301</v>
      </c>
      <c r="E101" s="10">
        <f t="shared" ref="E101" si="48">B101/(1+$B$1)^$A101</f>
        <v>612.77060167969466</v>
      </c>
      <c r="F101" s="10">
        <f t="shared" si="45"/>
        <v>752.89484561019185</v>
      </c>
      <c r="G101" s="10">
        <f t="shared" ref="G101:G102" si="49">F101-E101</f>
        <v>140.12424393049719</v>
      </c>
      <c r="H101" s="10"/>
      <c r="L101" s="10"/>
      <c r="M101" s="10"/>
      <c r="N101" s="10"/>
      <c r="O101" s="10"/>
      <c r="P101" s="10"/>
      <c r="Q101" s="10"/>
      <c r="R101" s="10"/>
    </row>
    <row r="102" spans="1:18" x14ac:dyDescent="0.25">
      <c r="A102" s="6">
        <v>9</v>
      </c>
      <c r="B102" s="10">
        <v>976.66324361628699</v>
      </c>
      <c r="C102" s="10">
        <f>Työkaluvälilehti!$B$12*(A102-A101)*Työkaluvälilehti!$B$4</f>
        <v>1200</v>
      </c>
      <c r="D102" s="10">
        <f>C102-B102</f>
        <v>223.33675638371301</v>
      </c>
      <c r="E102" s="10">
        <f>B102/(1+$B$1)^$A102</f>
        <v>578.08547328273073</v>
      </c>
      <c r="F102" s="10">
        <f t="shared" si="45"/>
        <v>710.27815623602999</v>
      </c>
      <c r="G102" s="10">
        <f t="shared" si="49"/>
        <v>132.19268295329925</v>
      </c>
      <c r="H102" s="10"/>
      <c r="L102" s="10"/>
      <c r="M102" s="10"/>
      <c r="N102" s="10"/>
      <c r="O102" s="10"/>
      <c r="P102" s="10"/>
      <c r="Q102" s="10"/>
      <c r="R102" s="10"/>
    </row>
    <row r="103" spans="1:18" x14ac:dyDescent="0.25">
      <c r="A103" s="6">
        <v>10</v>
      </c>
      <c r="B103" s="10">
        <v>1007.0096002054343</v>
      </c>
      <c r="C103" s="10">
        <f>Työkaluvälilehti!$B$12*(A103-A102)*Työkaluvälilehti!$B$4</f>
        <v>1200</v>
      </c>
      <c r="D103" s="10">
        <f>C103-B103</f>
        <v>192.99039979456575</v>
      </c>
      <c r="E103" s="10">
        <f>B103/(1+$B$1)^$A103</f>
        <v>562.30890105809544</v>
      </c>
      <c r="F103" s="10">
        <f>C103/(1+$B$1)^$A103</f>
        <v>670.07373229814141</v>
      </c>
      <c r="G103" s="10">
        <f>F103-E103</f>
        <v>107.76483124004596</v>
      </c>
      <c r="H103" s="10"/>
      <c r="L103" s="10"/>
      <c r="M103" s="10"/>
      <c r="N103" s="10"/>
      <c r="O103" s="10"/>
      <c r="P103" s="10"/>
      <c r="Q103" s="10"/>
      <c r="R103" s="10"/>
    </row>
    <row r="104" spans="1:18" x14ac:dyDescent="0.25">
      <c r="A104" s="6" t="s">
        <v>103</v>
      </c>
      <c r="B104" s="10" t="s">
        <v>107</v>
      </c>
      <c r="C104" s="10" t="s">
        <v>98</v>
      </c>
      <c r="D104" s="10" t="s">
        <v>99</v>
      </c>
      <c r="E104" s="10" t="s">
        <v>100</v>
      </c>
      <c r="F104" s="10" t="s">
        <v>101</v>
      </c>
      <c r="G104" s="10" t="s">
        <v>102</v>
      </c>
      <c r="H104" s="10" t="s">
        <v>83</v>
      </c>
      <c r="L104" s="10"/>
      <c r="M104" s="10"/>
      <c r="N104" s="10"/>
      <c r="O104" s="10"/>
      <c r="P104" s="10"/>
      <c r="Q104" s="10"/>
      <c r="R104" s="10"/>
    </row>
    <row r="105" spans="1:18" x14ac:dyDescent="0.25">
      <c r="B105" s="10">
        <f>SUM(B93:B103)</f>
        <v>10150.33547842866</v>
      </c>
      <c r="C105" s="10">
        <f t="shared" ref="C105:G105" si="50">SUM(C93:C103)</f>
        <v>10800</v>
      </c>
      <c r="D105" s="10">
        <f t="shared" si="50"/>
        <v>649.66452157134086</v>
      </c>
      <c r="E105" s="10">
        <f t="shared" si="50"/>
        <v>7608.8753136307723</v>
      </c>
      <c r="F105" s="10">
        <f t="shared" si="50"/>
        <v>7700.0289899995205</v>
      </c>
      <c r="G105" s="10">
        <f t="shared" si="50"/>
        <v>91.153676368748052</v>
      </c>
      <c r="H105" s="10">
        <f>G105/(1-(1/(1+$B$1))^(A103))</f>
        <v>206.41439820839051</v>
      </c>
      <c r="L105" s="10"/>
      <c r="M105" s="10"/>
      <c r="N105" s="10"/>
      <c r="O105" s="10"/>
      <c r="P105" s="10"/>
      <c r="Q105" s="10"/>
      <c r="R105" s="10"/>
    </row>
    <row r="106" spans="1:18" x14ac:dyDescent="0.25">
      <c r="B106" s="10" t="s">
        <v>104</v>
      </c>
      <c r="C106" s="10">
        <v>1843.033547842866</v>
      </c>
      <c r="D106" s="10"/>
      <c r="E106" s="10"/>
      <c r="F106" s="10"/>
      <c r="G106" s="10"/>
      <c r="H106" s="10"/>
      <c r="L106" s="10"/>
      <c r="M106" s="10"/>
      <c r="N106" s="10"/>
      <c r="O106" s="10"/>
      <c r="P106" s="10"/>
      <c r="Q106" s="10"/>
      <c r="R106" s="10"/>
    </row>
    <row r="107" spans="1:18" x14ac:dyDescent="0.25">
      <c r="A107" s="6" t="s">
        <v>77</v>
      </c>
      <c r="B107" s="10"/>
      <c r="C107" s="10"/>
      <c r="D107" s="10"/>
      <c r="E107" s="10"/>
      <c r="F107" s="10"/>
      <c r="G107" s="10"/>
      <c r="H107" s="10"/>
      <c r="L107" s="10"/>
      <c r="M107" s="10"/>
      <c r="N107" s="10"/>
      <c r="O107" s="10"/>
      <c r="P107" s="10"/>
      <c r="Q107" s="10"/>
      <c r="R107" s="10"/>
    </row>
    <row r="108" spans="1:18" x14ac:dyDescent="0.25">
      <c r="A108" s="6" t="s">
        <v>78</v>
      </c>
      <c r="B108" s="10" t="s">
        <v>107</v>
      </c>
      <c r="C108" s="10" t="s">
        <v>98</v>
      </c>
      <c r="D108" s="10" t="s">
        <v>99</v>
      </c>
      <c r="E108" s="10" t="s">
        <v>100</v>
      </c>
      <c r="F108" s="10" t="s">
        <v>101</v>
      </c>
      <c r="G108" s="10" t="s">
        <v>102</v>
      </c>
      <c r="H108" s="10"/>
      <c r="L108" s="10"/>
      <c r="M108" s="10"/>
      <c r="N108" s="10"/>
      <c r="O108" s="10"/>
      <c r="P108" s="10"/>
      <c r="Q108" s="10"/>
      <c r="R108" s="10"/>
    </row>
    <row r="109" spans="1:18" x14ac:dyDescent="0.25">
      <c r="A109" s="6">
        <v>0</v>
      </c>
      <c r="B109" s="10">
        <v>1241.0517070707067</v>
      </c>
      <c r="C109" s="10">
        <v>0</v>
      </c>
      <c r="D109" s="10">
        <f>C109-B109</f>
        <v>-1241.0517070707067</v>
      </c>
      <c r="E109" s="10">
        <f>B109/(1+$B$1)^$A109</f>
        <v>1241.0517070707067</v>
      </c>
      <c r="F109" s="10">
        <f>C109/(1+$B$1)^$A109</f>
        <v>0</v>
      </c>
      <c r="G109" s="10">
        <f>F109-E109</f>
        <v>-1241.0517070707067</v>
      </c>
      <c r="H109" s="10"/>
      <c r="L109" s="10"/>
      <c r="M109" s="10"/>
      <c r="N109" s="10"/>
      <c r="O109" s="10"/>
      <c r="P109" s="10"/>
      <c r="Q109" s="10"/>
      <c r="R109" s="10"/>
    </row>
    <row r="110" spans="1:18" x14ac:dyDescent="0.25">
      <c r="A110" s="6">
        <v>1</v>
      </c>
      <c r="B110" s="10">
        <v>88.968222222222209</v>
      </c>
      <c r="C110" s="10">
        <v>0</v>
      </c>
      <c r="D110" s="10">
        <f>C110-B110</f>
        <v>-88.968222222222209</v>
      </c>
      <c r="E110" s="10">
        <f>B110/(1+$B$1)^$A110</f>
        <v>83.932285115303969</v>
      </c>
      <c r="F110" s="10">
        <f t="shared" ref="F110:F112" si="51">C110/(1+$B$1)^$A110</f>
        <v>0</v>
      </c>
      <c r="G110" s="10">
        <f>F110-E110</f>
        <v>-83.932285115303969</v>
      </c>
      <c r="H110" s="10"/>
      <c r="L110" s="10"/>
      <c r="M110" s="10"/>
      <c r="N110" s="10"/>
      <c r="O110" s="10"/>
      <c r="P110" s="10"/>
      <c r="Q110" s="10"/>
      <c r="R110" s="10"/>
    </row>
    <row r="111" spans="1:18" x14ac:dyDescent="0.25">
      <c r="A111" s="6">
        <v>2</v>
      </c>
      <c r="B111" s="10">
        <v>978.55909313833445</v>
      </c>
      <c r="C111" s="10">
        <f>Työkaluvälilehti!$B$12*(A111-A110)*Työkaluvälilehti!$B$5</f>
        <v>960</v>
      </c>
      <c r="D111" s="10">
        <f t="shared" ref="D111:D112" si="52">C111-B111</f>
        <v>-18.559093138334447</v>
      </c>
      <c r="E111" s="10">
        <f t="shared" ref="E111:F118" si="53">B111/(1+$B$1)^$A111</f>
        <v>870.91410923668059</v>
      </c>
      <c r="F111" s="10">
        <f t="shared" si="51"/>
        <v>854.39658241367022</v>
      </c>
      <c r="G111" s="10">
        <f t="shared" ref="G111:G112" si="54">F111-E111</f>
        <v>-16.517526823010371</v>
      </c>
      <c r="H111" s="10"/>
      <c r="L111" s="10"/>
      <c r="M111" s="10"/>
      <c r="N111" s="10"/>
      <c r="O111" s="10"/>
      <c r="P111" s="10"/>
      <c r="Q111" s="10"/>
      <c r="R111" s="10"/>
    </row>
    <row r="112" spans="1:18" x14ac:dyDescent="0.25">
      <c r="A112" s="6">
        <v>3</v>
      </c>
      <c r="B112" s="10">
        <v>978.55909313833445</v>
      </c>
      <c r="C112" s="10">
        <f>Työkaluvälilehti!$B$12*(A112-A111)*Työkaluvälilehti!$B$5</f>
        <v>960</v>
      </c>
      <c r="D112" s="10">
        <f t="shared" si="52"/>
        <v>-18.559093138334447</v>
      </c>
      <c r="E112" s="10">
        <f t="shared" si="53"/>
        <v>821.61708418554758</v>
      </c>
      <c r="F112" s="10">
        <f t="shared" si="51"/>
        <v>806.0345117110096</v>
      </c>
      <c r="G112" s="10">
        <f t="shared" si="54"/>
        <v>-15.582572474537983</v>
      </c>
      <c r="H112" s="10"/>
      <c r="L112" s="10"/>
      <c r="M112" s="10"/>
      <c r="N112" s="10"/>
      <c r="O112" s="10"/>
      <c r="P112" s="10"/>
      <c r="Q112" s="10"/>
      <c r="R112" s="10"/>
    </row>
    <row r="113" spans="1:18" x14ac:dyDescent="0.25">
      <c r="A113" s="6">
        <v>4</v>
      </c>
      <c r="B113" s="10">
        <v>978.55909313833445</v>
      </c>
      <c r="C113" s="10">
        <f>Työkaluvälilehti!$B$12*(A113-A112)*Työkaluvälilehti!$B$5</f>
        <v>960</v>
      </c>
      <c r="D113" s="10">
        <f>C113-B113</f>
        <v>-18.559093138334447</v>
      </c>
      <c r="E113" s="10">
        <f t="shared" si="53"/>
        <v>775.1104567788185</v>
      </c>
      <c r="F113" s="10">
        <f t="shared" si="53"/>
        <v>760.40991670849962</v>
      </c>
      <c r="G113" s="10">
        <f>F113-E113</f>
        <v>-14.70054007031888</v>
      </c>
      <c r="H113" s="10"/>
      <c r="L113" s="10"/>
      <c r="M113" s="10"/>
      <c r="N113" s="10"/>
      <c r="O113" s="10"/>
      <c r="P113" s="10"/>
      <c r="Q113" s="10"/>
      <c r="R113" s="10"/>
    </row>
    <row r="114" spans="1:18" x14ac:dyDescent="0.25">
      <c r="A114" s="6">
        <v>5</v>
      </c>
      <c r="B114" s="10">
        <v>978.55909313833445</v>
      </c>
      <c r="C114" s="10">
        <f>Työkaluvälilehti!$B$12*(A114-A113)*Työkaluvälilehti!$B$5</f>
        <v>960</v>
      </c>
      <c r="D114" s="10">
        <f>C114-B114</f>
        <v>-18.559093138334447</v>
      </c>
      <c r="E114" s="10">
        <f t="shared" si="53"/>
        <v>731.23627998001734</v>
      </c>
      <c r="F114" s="10">
        <f t="shared" si="53"/>
        <v>717.36784595141467</v>
      </c>
      <c r="G114" s="10">
        <f>F114-E114</f>
        <v>-13.868434028602678</v>
      </c>
      <c r="H114" s="10"/>
      <c r="L114" s="10"/>
      <c r="M114" s="10"/>
      <c r="N114" s="10"/>
      <c r="O114" s="10"/>
      <c r="P114" s="10"/>
      <c r="Q114" s="10"/>
      <c r="R114" s="10"/>
    </row>
    <row r="115" spans="1:18" x14ac:dyDescent="0.25">
      <c r="A115" s="6">
        <v>6</v>
      </c>
      <c r="B115" s="10">
        <v>978.55909313833445</v>
      </c>
      <c r="C115" s="10">
        <f>Työkaluvälilehti!$B$12*(A115-A114)*Työkaluvälilehti!$B$5</f>
        <v>960</v>
      </c>
      <c r="D115" s="10">
        <f>C115-B115</f>
        <v>-18.559093138334447</v>
      </c>
      <c r="E115" s="10">
        <f t="shared" si="53"/>
        <v>689.84554715095976</v>
      </c>
      <c r="F115" s="10">
        <f t="shared" si="53"/>
        <v>676.76211882208918</v>
      </c>
      <c r="G115" s="10">
        <f>F115-E115</f>
        <v>-13.083428328870582</v>
      </c>
      <c r="H115" s="10"/>
      <c r="L115" s="10"/>
      <c r="M115" s="10"/>
      <c r="N115" s="10"/>
      <c r="O115" s="10"/>
      <c r="P115" s="10"/>
      <c r="Q115" s="10"/>
      <c r="R115" s="10"/>
    </row>
    <row r="116" spans="1:18" x14ac:dyDescent="0.25">
      <c r="A116" s="6">
        <v>7</v>
      </c>
      <c r="B116" s="10">
        <v>978.55909313833445</v>
      </c>
      <c r="C116" s="10">
        <f>Työkaluvälilehti!$B$12*(A116-A115)*Työkaluvälilehti!$B$5</f>
        <v>960</v>
      </c>
      <c r="D116" s="10">
        <f t="shared" ref="D116:D117" si="55">C116-B116</f>
        <v>-18.559093138334447</v>
      </c>
      <c r="E116" s="10">
        <f>B116/(1+$B$1)^$A116</f>
        <v>650.79768599147144</v>
      </c>
      <c r="F116" s="10">
        <f t="shared" si="53"/>
        <v>638.45482907744258</v>
      </c>
      <c r="G116" s="10">
        <f>F116-E116</f>
        <v>-12.342856914028857</v>
      </c>
      <c r="H116" s="10"/>
      <c r="L116" s="10"/>
      <c r="M116" s="10"/>
      <c r="N116" s="10"/>
      <c r="O116" s="10"/>
      <c r="P116" s="10"/>
      <c r="Q116" s="10"/>
      <c r="R116" s="10"/>
    </row>
    <row r="117" spans="1:18" x14ac:dyDescent="0.25">
      <c r="A117" s="6">
        <v>8</v>
      </c>
      <c r="B117" s="10">
        <v>978.55909313833445</v>
      </c>
      <c r="C117" s="10">
        <f>Työkaluvälilehti!$B$12*(A117-A116)*Työkaluvälilehti!$B$5</f>
        <v>960</v>
      </c>
      <c r="D117" s="10">
        <f t="shared" si="55"/>
        <v>-18.559093138334447</v>
      </c>
      <c r="E117" s="10">
        <f t="shared" ref="E117" si="56">B117/(1+$B$1)^$A117</f>
        <v>613.96008112402967</v>
      </c>
      <c r="F117" s="10">
        <f t="shared" si="53"/>
        <v>602.31587648815344</v>
      </c>
      <c r="G117" s="10">
        <f t="shared" ref="G117:G118" si="57">F117-E117</f>
        <v>-11.644204635876235</v>
      </c>
      <c r="H117" s="10"/>
      <c r="L117" s="10"/>
      <c r="M117" s="10"/>
      <c r="N117" s="10"/>
      <c r="O117" s="10"/>
      <c r="P117" s="10"/>
      <c r="Q117" s="10"/>
      <c r="R117" s="10"/>
    </row>
    <row r="118" spans="1:18" x14ac:dyDescent="0.25">
      <c r="A118" s="6">
        <v>9</v>
      </c>
      <c r="B118" s="10">
        <v>978.55909313833445</v>
      </c>
      <c r="C118" s="10">
        <f>Työkaluvälilehti!$B$12*(A118-A117)*Työkaluvälilehti!$B$5</f>
        <v>960</v>
      </c>
      <c r="D118" s="10">
        <f>C118-B118</f>
        <v>-18.559093138334447</v>
      </c>
      <c r="E118" s="10">
        <f>B118/(1+$B$1)^$A118</f>
        <v>579.20762370191483</v>
      </c>
      <c r="F118" s="10">
        <f t="shared" si="53"/>
        <v>568.22252498882403</v>
      </c>
      <c r="G118" s="10">
        <f t="shared" si="57"/>
        <v>-10.985098713090792</v>
      </c>
      <c r="H118" s="10"/>
      <c r="L118" s="10"/>
      <c r="M118" s="10"/>
      <c r="N118" s="10"/>
      <c r="O118" s="10"/>
      <c r="P118" s="10"/>
      <c r="Q118" s="10"/>
      <c r="R118" s="10"/>
    </row>
    <row r="119" spans="1:18" x14ac:dyDescent="0.25">
      <c r="A119" s="6">
        <v>10</v>
      </c>
      <c r="B119" s="10">
        <v>1008.9054497274817</v>
      </c>
      <c r="C119" s="10">
        <f>Työkaluvälilehti!$B$12*(A119-A118)*Työkaluvälilehti!$B$5</f>
        <v>960</v>
      </c>
      <c r="D119" s="10">
        <f>C119-B119</f>
        <v>-48.905449727481709</v>
      </c>
      <c r="E119" s="10">
        <f>B119/(1+$B$1)^$A119</f>
        <v>563.36753352902383</v>
      </c>
      <c r="F119" s="10">
        <f>C119/(1+$B$1)^$A119</f>
        <v>536.05898583851319</v>
      </c>
      <c r="G119" s="10">
        <f>F119-E119</f>
        <v>-27.308547690510636</v>
      </c>
      <c r="H119" s="10"/>
      <c r="L119" s="10"/>
      <c r="M119" s="10"/>
      <c r="N119" s="10"/>
      <c r="O119" s="10"/>
      <c r="P119" s="10"/>
      <c r="Q119" s="10"/>
      <c r="R119" s="10"/>
    </row>
    <row r="120" spans="1:18" x14ac:dyDescent="0.25">
      <c r="A120" s="6" t="s">
        <v>103</v>
      </c>
      <c r="B120" s="10" t="s">
        <v>107</v>
      </c>
      <c r="C120" s="10" t="s">
        <v>98</v>
      </c>
      <c r="D120" s="10" t="s">
        <v>99</v>
      </c>
      <c r="E120" s="10" t="s">
        <v>100</v>
      </c>
      <c r="F120" s="10" t="s">
        <v>101</v>
      </c>
      <c r="G120" s="10" t="s">
        <v>102</v>
      </c>
      <c r="H120" s="10" t="s">
        <v>83</v>
      </c>
      <c r="L120" s="10"/>
      <c r="M120" s="10"/>
      <c r="N120" s="10"/>
      <c r="O120" s="10"/>
      <c r="P120" s="10"/>
      <c r="Q120" s="10"/>
      <c r="R120" s="10"/>
    </row>
    <row r="121" spans="1:18" x14ac:dyDescent="0.25">
      <c r="B121" s="10">
        <f>SUM(B109:B119)</f>
        <v>10167.398124127083</v>
      </c>
      <c r="C121" s="10">
        <f t="shared" ref="C121:G121" si="58">SUM(C109:C119)</f>
        <v>8640</v>
      </c>
      <c r="D121" s="10">
        <f t="shared" si="58"/>
        <v>-1527.3981241270862</v>
      </c>
      <c r="E121" s="10">
        <f t="shared" si="58"/>
        <v>7621.0403938644731</v>
      </c>
      <c r="F121" s="10">
        <f t="shared" si="58"/>
        <v>6160.0231919996168</v>
      </c>
      <c r="G121" s="10">
        <f t="shared" si="58"/>
        <v>-1461.0172018648577</v>
      </c>
      <c r="H121" s="10">
        <f>G121/(1-(1/(1+$B$1))^(A119))</f>
        <v>-3308.4237357039378</v>
      </c>
      <c r="L121" s="10"/>
      <c r="M121" s="10"/>
      <c r="N121" s="10"/>
      <c r="O121" s="10"/>
      <c r="P121" s="10"/>
      <c r="Q121" s="10"/>
      <c r="R121" s="10"/>
    </row>
    <row r="122" spans="1:18" x14ac:dyDescent="0.25">
      <c r="B122" s="10" t="s">
        <v>104</v>
      </c>
      <c r="C122" s="10">
        <v>1844.739812412708</v>
      </c>
      <c r="D122" s="10"/>
      <c r="E122" s="10"/>
      <c r="F122" s="10"/>
      <c r="G122" s="10"/>
      <c r="H122" s="10"/>
      <c r="L122" s="10"/>
      <c r="M122" s="10"/>
      <c r="N122" s="10"/>
      <c r="O122" s="10"/>
      <c r="P122" s="10"/>
      <c r="Q122" s="10"/>
      <c r="R122" s="10"/>
    </row>
    <row r="123" spans="1:18" x14ac:dyDescent="0.25">
      <c r="A123" s="6" t="s">
        <v>11</v>
      </c>
      <c r="B123" s="10"/>
      <c r="C123" s="10"/>
      <c r="D123" s="10"/>
      <c r="E123" s="10"/>
      <c r="F123" s="10"/>
      <c r="G123" s="10"/>
      <c r="H123" s="10"/>
      <c r="L123" s="10"/>
      <c r="M123" s="10"/>
      <c r="N123" s="10"/>
      <c r="O123" s="10"/>
      <c r="P123" s="10"/>
      <c r="Q123" s="10"/>
      <c r="R123" s="10"/>
    </row>
    <row r="124" spans="1:18" x14ac:dyDescent="0.25">
      <c r="A124" s="6" t="s">
        <v>78</v>
      </c>
      <c r="B124" s="10" t="s">
        <v>107</v>
      </c>
      <c r="C124" s="10" t="s">
        <v>98</v>
      </c>
      <c r="D124" s="10" t="s">
        <v>99</v>
      </c>
      <c r="E124" s="10" t="s">
        <v>100</v>
      </c>
      <c r="F124" s="10" t="s">
        <v>101</v>
      </c>
      <c r="G124" s="10" t="s">
        <v>102</v>
      </c>
      <c r="H124" s="10"/>
      <c r="L124" s="10"/>
      <c r="M124" s="10"/>
      <c r="N124" s="10"/>
      <c r="O124" s="10"/>
      <c r="P124" s="10"/>
      <c r="Q124" s="10"/>
      <c r="R124" s="10"/>
    </row>
    <row r="125" spans="1:18" x14ac:dyDescent="0.25">
      <c r="A125" s="6">
        <v>0</v>
      </c>
      <c r="B125" s="10">
        <v>964.17833333333328</v>
      </c>
      <c r="C125" s="10">
        <v>0</v>
      </c>
      <c r="D125" s="10">
        <f>C125-B125</f>
        <v>-964.17833333333328</v>
      </c>
      <c r="E125" s="10">
        <f>B125/(1+$B$1)^$A125</f>
        <v>964.17833333333328</v>
      </c>
      <c r="F125" s="10">
        <f>C125/(1+$B$1)^$A125</f>
        <v>0</v>
      </c>
      <c r="G125" s="10">
        <f>F125-E125</f>
        <v>-964.17833333333328</v>
      </c>
      <c r="H125" s="10"/>
      <c r="L125" s="10"/>
      <c r="M125" s="10"/>
      <c r="N125" s="10"/>
      <c r="O125" s="10"/>
      <c r="P125" s="10"/>
      <c r="Q125" s="10"/>
      <c r="R125" s="10"/>
    </row>
    <row r="126" spans="1:18" x14ac:dyDescent="0.25">
      <c r="A126" s="6">
        <v>1</v>
      </c>
      <c r="B126" s="10">
        <v>685.90959595959589</v>
      </c>
      <c r="C126" s="10">
        <v>0</v>
      </c>
      <c r="D126" s="10">
        <f>C126-B126</f>
        <v>-685.90959595959589</v>
      </c>
      <c r="E126" s="10">
        <f>B126/(1+$B$1)^$A126</f>
        <v>647.08452449018478</v>
      </c>
      <c r="F126" s="10">
        <f t="shared" ref="F126:F128" si="59">C126/(1+$B$1)^$A126</f>
        <v>0</v>
      </c>
      <c r="G126" s="10">
        <f>F126-E126</f>
        <v>-647.08452449018478</v>
      </c>
      <c r="H126" s="10"/>
      <c r="L126" s="10"/>
      <c r="M126" s="10"/>
      <c r="N126" s="10"/>
      <c r="O126" s="10"/>
      <c r="P126" s="10"/>
      <c r="Q126" s="10"/>
      <c r="R126" s="10"/>
    </row>
    <row r="127" spans="1:18" x14ac:dyDescent="0.25">
      <c r="A127" s="6">
        <v>2</v>
      </c>
      <c r="B127" s="10">
        <v>1276.4018032045042</v>
      </c>
      <c r="C127" s="10">
        <f>Työkaluvälilehti!$B$13*(A127-A126)*Työkaluvälilehti!$B$6</f>
        <v>1500</v>
      </c>
      <c r="D127" s="10">
        <f t="shared" ref="D127:D128" si="60">C127-B127</f>
        <v>223.59819679549582</v>
      </c>
      <c r="E127" s="10">
        <f>B127/(1+$B$1)^$A127</f>
        <v>1135.9930608797652</v>
      </c>
      <c r="F127" s="10">
        <f>C127/(1+$B$1)^$A127</f>
        <v>1334.9946600213598</v>
      </c>
      <c r="G127" s="10">
        <f>F127-E127</f>
        <v>199.00159914159462</v>
      </c>
      <c r="H127" s="10"/>
      <c r="L127" s="10"/>
      <c r="M127" s="10"/>
      <c r="N127" s="10"/>
      <c r="O127" s="10"/>
      <c r="P127" s="10"/>
      <c r="Q127" s="10"/>
      <c r="R127" s="10"/>
    </row>
    <row r="128" spans="1:18" x14ac:dyDescent="0.25">
      <c r="A128" s="6">
        <v>3</v>
      </c>
      <c r="B128" s="10">
        <v>1276.4018032045042</v>
      </c>
      <c r="C128" s="10">
        <f>Työkaluvälilehti!$B$13*(A128-A127)*Työkaluvälilehti!$B$6</f>
        <v>1500</v>
      </c>
      <c r="D128" s="10">
        <f t="shared" si="60"/>
        <v>223.59819679549582</v>
      </c>
      <c r="E128" s="10">
        <f t="shared" ref="E128:F133" si="61">B128/(1+$B$1)^$A128</f>
        <v>1071.6915668677027</v>
      </c>
      <c r="F128" s="10">
        <f t="shared" si="59"/>
        <v>1259.4289245484524</v>
      </c>
      <c r="G128" s="10">
        <f t="shared" ref="G128" si="62">F128-E128</f>
        <v>187.73735768074971</v>
      </c>
      <c r="H128" s="10"/>
      <c r="L128" s="10"/>
      <c r="M128" s="10"/>
      <c r="N128" s="10"/>
      <c r="O128" s="10"/>
      <c r="P128" s="10"/>
      <c r="Q128" s="10"/>
      <c r="R128" s="10"/>
    </row>
    <row r="129" spans="1:18" x14ac:dyDescent="0.25">
      <c r="A129" s="6">
        <v>4</v>
      </c>
      <c r="B129" s="10">
        <v>1276.4018032045042</v>
      </c>
      <c r="C129" s="10">
        <f>Työkaluvälilehti!$B$13*(A129-A128)*Työkaluvälilehti!$B$6</f>
        <v>1500</v>
      </c>
      <c r="D129" s="10">
        <f>C129-B129</f>
        <v>223.59819679549582</v>
      </c>
      <c r="E129" s="10">
        <f t="shared" si="61"/>
        <v>1011.0297800638705</v>
      </c>
      <c r="F129" s="10">
        <f t="shared" si="61"/>
        <v>1188.1404948570305</v>
      </c>
      <c r="G129" s="10">
        <f>F129-E129</f>
        <v>177.11071479316001</v>
      </c>
      <c r="H129" s="10"/>
      <c r="L129" s="10"/>
      <c r="M129" s="10"/>
      <c r="N129" s="10"/>
      <c r="O129" s="10"/>
      <c r="P129" s="10"/>
      <c r="Q129" s="10"/>
      <c r="R129" s="10"/>
    </row>
    <row r="130" spans="1:18" x14ac:dyDescent="0.25">
      <c r="A130" s="6">
        <v>5</v>
      </c>
      <c r="B130" s="10">
        <v>1802.0945163827987</v>
      </c>
      <c r="C130" s="10">
        <f>Työkaluvälilehti!$B$13*(A130-A129)*Työkaluvälilehti!$B$6</f>
        <v>1500</v>
      </c>
      <c r="D130" s="10">
        <f>C130-B130</f>
        <v>-302.0945163827987</v>
      </c>
      <c r="E130" s="10">
        <f t="shared" si="61"/>
        <v>1346.6298556441507</v>
      </c>
      <c r="F130" s="10">
        <f t="shared" si="61"/>
        <v>1120.8872592990854</v>
      </c>
      <c r="G130" s="10">
        <f>F130-E130</f>
        <v>-225.74259634506529</v>
      </c>
      <c r="H130" s="10"/>
      <c r="L130" s="10"/>
      <c r="M130" s="10"/>
      <c r="N130" s="10"/>
      <c r="O130" s="10"/>
      <c r="P130" s="10"/>
      <c r="Q130" s="10"/>
      <c r="R130" s="10"/>
    </row>
    <row r="131" spans="1:18" x14ac:dyDescent="0.25">
      <c r="A131" s="6">
        <v>6</v>
      </c>
      <c r="B131" s="10">
        <v>1276.4018032045042</v>
      </c>
      <c r="C131" s="10">
        <f>Työkaluvälilehti!$B$13*(A131-A130)*Työkaluvälilehti!$B$6</f>
        <v>1500</v>
      </c>
      <c r="D131" s="10">
        <f>C131-B131</f>
        <v>223.59819679549582</v>
      </c>
      <c r="E131" s="10">
        <f t="shared" si="61"/>
        <v>899.81290500522459</v>
      </c>
      <c r="F131" s="10">
        <f t="shared" si="61"/>
        <v>1057.4408106595145</v>
      </c>
      <c r="G131" s="10">
        <f>F131-E131</f>
        <v>157.62790565428986</v>
      </c>
      <c r="H131" s="10"/>
      <c r="L131" s="10"/>
      <c r="M131" s="10"/>
      <c r="N131" s="10"/>
      <c r="O131" s="10"/>
      <c r="P131" s="10"/>
      <c r="Q131" s="10"/>
      <c r="R131" s="10"/>
    </row>
    <row r="132" spans="1:18" x14ac:dyDescent="0.25">
      <c r="A132" s="6">
        <v>7</v>
      </c>
      <c r="B132" s="10">
        <v>1276.4018032045042</v>
      </c>
      <c r="C132" s="10">
        <f>Työkaluvälilehti!$B$13*(A132-A131)*Työkaluvälilehti!$B$6</f>
        <v>1500</v>
      </c>
      <c r="D132" s="10">
        <f t="shared" ref="D132:D133" si="63">C132-B132</f>
        <v>223.59819679549582</v>
      </c>
      <c r="E132" s="10">
        <f t="shared" si="61"/>
        <v>848.88009906153252</v>
      </c>
      <c r="F132" s="10">
        <f t="shared" si="61"/>
        <v>997.58567043350399</v>
      </c>
      <c r="G132" s="10">
        <f>F132-E132</f>
        <v>148.70557137197147</v>
      </c>
      <c r="H132" s="10"/>
      <c r="L132" s="10"/>
      <c r="M132" s="10"/>
      <c r="N132" s="10"/>
      <c r="O132" s="10"/>
      <c r="P132" s="10"/>
      <c r="Q132" s="10"/>
      <c r="R132" s="10"/>
    </row>
    <row r="133" spans="1:18" x14ac:dyDescent="0.25">
      <c r="A133" s="6">
        <v>8</v>
      </c>
      <c r="B133" s="10">
        <v>1276.4018032045042</v>
      </c>
      <c r="C133" s="10">
        <f>Työkaluvälilehti!$B$13*(A133-A132)*Työkaluvälilehti!$B$6</f>
        <v>1500</v>
      </c>
      <c r="D133" s="10">
        <f t="shared" si="63"/>
        <v>223.59819679549582</v>
      </c>
      <c r="E133" s="10">
        <f t="shared" si="61"/>
        <v>800.83028213352134</v>
      </c>
      <c r="F133" s="10">
        <f>C133/(1+$B$1)^$A133</f>
        <v>941.11855701273976</v>
      </c>
      <c r="G133" s="10">
        <f t="shared" ref="G133:G134" si="64">F133-E133</f>
        <v>140.28827487921842</v>
      </c>
      <c r="H133" s="10"/>
      <c r="L133" s="10"/>
      <c r="M133" s="10"/>
      <c r="N133" s="10"/>
      <c r="O133" s="10"/>
      <c r="P133" s="10"/>
      <c r="Q133" s="10"/>
      <c r="R133" s="10"/>
    </row>
    <row r="134" spans="1:18" x14ac:dyDescent="0.25">
      <c r="A134" s="6">
        <v>9</v>
      </c>
      <c r="B134" s="10">
        <v>1276.4018032045042</v>
      </c>
      <c r="C134" s="10">
        <f>Työkaluvälilehti!$B$13*(A134-A133)*Työkaluvälilehti!$B$6</f>
        <v>1500</v>
      </c>
      <c r="D134" s="10">
        <f>C134-B134</f>
        <v>223.59819679549582</v>
      </c>
      <c r="E134" s="10">
        <f>B134/(1+$B$1)^$A134</f>
        <v>755.50026616369939</v>
      </c>
      <c r="F134" s="10">
        <f>C134/(1+$B$1)^$A134</f>
        <v>887.84769529503751</v>
      </c>
      <c r="G134" s="10">
        <f t="shared" si="64"/>
        <v>132.34742913133812</v>
      </c>
      <c r="H134" s="10"/>
      <c r="L134" s="10"/>
      <c r="M134" s="10"/>
      <c r="N134" s="10"/>
      <c r="O134" s="10"/>
      <c r="P134" s="10"/>
      <c r="Q134" s="10"/>
      <c r="R134" s="10"/>
    </row>
    <row r="135" spans="1:18" x14ac:dyDescent="0.25">
      <c r="A135" s="6">
        <v>10</v>
      </c>
      <c r="B135" s="10">
        <v>651.18492042320304</v>
      </c>
      <c r="C135" s="10">
        <f>Työkaluvälilehti!$B$13*(A135-A134)*Työkaluvälilehti!$B$6</f>
        <v>1500</v>
      </c>
      <c r="D135" s="10">
        <f>C135-B135</f>
        <v>848.81507957679696</v>
      </c>
      <c r="E135" s="10">
        <f>B135/(1+$B$1)^$A135</f>
        <v>363.61825837020325</v>
      </c>
      <c r="F135" s="10">
        <f>C135/(1+$B$1)^$A135</f>
        <v>837.59216537267685</v>
      </c>
      <c r="G135" s="10">
        <f>F135-E135</f>
        <v>473.9739070024736</v>
      </c>
      <c r="H135" s="10"/>
      <c r="L135" s="10"/>
      <c r="M135" s="10"/>
      <c r="N135" s="10"/>
      <c r="O135" s="10"/>
      <c r="P135" s="10"/>
      <c r="Q135" s="10"/>
      <c r="R135" s="10"/>
    </row>
    <row r="136" spans="1:18" x14ac:dyDescent="0.25">
      <c r="A136" s="6" t="s">
        <v>103</v>
      </c>
      <c r="B136" s="10" t="s">
        <v>107</v>
      </c>
      <c r="C136" s="10" t="s">
        <v>98</v>
      </c>
      <c r="D136" s="10" t="s">
        <v>99</v>
      </c>
      <c r="E136" s="10" t="s">
        <v>100</v>
      </c>
      <c r="F136" s="10" t="s">
        <v>101</v>
      </c>
      <c r="G136" s="10" t="s">
        <v>102</v>
      </c>
      <c r="H136" s="10" t="s">
        <v>83</v>
      </c>
      <c r="L136" s="10"/>
      <c r="M136" s="10"/>
      <c r="N136" s="10"/>
      <c r="O136" s="10"/>
      <c r="P136" s="10"/>
      <c r="Q136" s="10"/>
      <c r="R136" s="10"/>
    </row>
    <row r="137" spans="1:18" x14ac:dyDescent="0.25">
      <c r="B137" s="10">
        <f>SUM(B125:B135)</f>
        <v>13038.179988530461</v>
      </c>
      <c r="C137" s="10">
        <f t="shared" ref="C137:F137" si="65">SUM(C125:C135)</f>
        <v>13500</v>
      </c>
      <c r="D137" s="10">
        <f t="shared" si="65"/>
        <v>461.82001146953985</v>
      </c>
      <c r="E137" s="10">
        <f t="shared" si="65"/>
        <v>9845.2489320131881</v>
      </c>
      <c r="F137" s="10">
        <f t="shared" si="65"/>
        <v>9625.0362374994002</v>
      </c>
      <c r="G137" s="10">
        <f>SUM(G125:G135)</f>
        <v>-220.21269451378754</v>
      </c>
      <c r="H137" s="10">
        <f>G137/(1-(1/(1+$B$1))^(A135))</f>
        <v>-498.66415296328978</v>
      </c>
      <c r="L137" s="10"/>
      <c r="M137" s="10"/>
      <c r="N137" s="10"/>
      <c r="O137" s="10"/>
      <c r="P137" s="10"/>
      <c r="Q137" s="10"/>
      <c r="R137" s="10"/>
    </row>
  </sheetData>
  <sheetProtection selectLockedCells="1" selectUnlockedCells="1"/>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9E225E-715C-4691-AEEB-6F0578D4C0EA}">
  <dimension ref="A1:Z137"/>
  <sheetViews>
    <sheetView workbookViewId="0">
      <selection activeCell="K5" sqref="K5:K29"/>
    </sheetView>
  </sheetViews>
  <sheetFormatPr defaultColWidth="4.7109375" defaultRowHeight="15" x14ac:dyDescent="0.25"/>
  <cols>
    <col min="1" max="1" width="4.85546875" style="6" bestFit="1" customWidth="1"/>
    <col min="2" max="6" width="6" style="6" bestFit="1" customWidth="1"/>
    <col min="7" max="8" width="5.85546875" style="6" bestFit="1" customWidth="1"/>
    <col min="9" max="9" width="7.28515625" style="6" customWidth="1"/>
    <col min="10" max="10" width="4.7109375" style="6"/>
    <col min="11" max="11" width="13.85546875" style="6" customWidth="1"/>
    <col min="12" max="25" width="4.7109375" style="6"/>
    <col min="26" max="26" width="6" style="6" bestFit="1" customWidth="1"/>
    <col min="27" max="16384" width="4.7109375" style="6"/>
  </cols>
  <sheetData>
    <row r="1" spans="1:23" x14ac:dyDescent="0.25">
      <c r="A1" s="6" t="s">
        <v>94</v>
      </c>
      <c r="B1" s="6">
        <v>0.05</v>
      </c>
    </row>
    <row r="3" spans="1:23" x14ac:dyDescent="0.25">
      <c r="A3" s="6" t="s">
        <v>95</v>
      </c>
    </row>
    <row r="4" spans="1:23" x14ac:dyDescent="0.25">
      <c r="A4" s="6" t="s">
        <v>78</v>
      </c>
      <c r="B4" s="6" t="s">
        <v>96</v>
      </c>
      <c r="C4" s="6" t="s">
        <v>97</v>
      </c>
      <c r="D4" s="6" t="s">
        <v>98</v>
      </c>
      <c r="E4" s="6" t="s">
        <v>99</v>
      </c>
      <c r="F4" s="6" t="s">
        <v>100</v>
      </c>
      <c r="G4" s="6" t="s">
        <v>101</v>
      </c>
      <c r="H4" s="6" t="s">
        <v>102</v>
      </c>
      <c r="T4" s="10"/>
      <c r="U4" s="10"/>
    </row>
    <row r="5" spans="1:23" x14ac:dyDescent="0.25">
      <c r="A5" s="6">
        <v>0</v>
      </c>
      <c r="B5" s="10">
        <v>2623.0520000000001</v>
      </c>
      <c r="C5" s="6">
        <v>0</v>
      </c>
      <c r="D5" s="10">
        <v>0</v>
      </c>
      <c r="E5" s="10">
        <f>D5-B5-C5</f>
        <v>-2623.0520000000001</v>
      </c>
      <c r="F5" s="10">
        <f>B5/(1+$B$1)^$A5+C5/(1+$B$1)^$A5</f>
        <v>2623.0520000000001</v>
      </c>
      <c r="G5" s="10">
        <f t="shared" ref="G5:G12" si="0">D5/(1+$B$1)^$A5</f>
        <v>0</v>
      </c>
      <c r="H5" s="10">
        <f>G5-F5</f>
        <v>-2623.0520000000001</v>
      </c>
      <c r="I5" s="10"/>
      <c r="K5" s="10">
        <f>E5/(1+$B$1)^(A5)</f>
        <v>-2623.0520000000001</v>
      </c>
      <c r="L5" s="10"/>
      <c r="M5" s="10"/>
      <c r="N5" s="10"/>
      <c r="O5" s="10"/>
      <c r="P5" s="10"/>
      <c r="Q5" s="10"/>
      <c r="R5" s="10"/>
    </row>
    <row r="6" spans="1:23" x14ac:dyDescent="0.25">
      <c r="A6" s="6">
        <v>1</v>
      </c>
      <c r="B6" s="10">
        <v>123.69</v>
      </c>
      <c r="C6" s="6">
        <v>0</v>
      </c>
      <c r="D6" s="10">
        <v>0</v>
      </c>
      <c r="E6" s="10">
        <f t="shared" ref="E6:E12" si="1">D6-B6-C6</f>
        <v>-123.69</v>
      </c>
      <c r="F6" s="10">
        <f t="shared" ref="F6" si="2">B6/(1+$B$1)^$A6+C6/(1+$B$1)^$A6</f>
        <v>117.8</v>
      </c>
      <c r="G6" s="10">
        <f t="shared" si="0"/>
        <v>0</v>
      </c>
      <c r="H6" s="10">
        <f>G6-F6</f>
        <v>-117.8</v>
      </c>
      <c r="I6" s="10"/>
      <c r="K6" s="10">
        <f t="shared" ref="K6:K12" si="3">E6/(1+$B$1)^(A6)</f>
        <v>-117.8</v>
      </c>
      <c r="L6" s="10"/>
      <c r="M6" s="10"/>
      <c r="N6" s="10"/>
      <c r="O6" s="10"/>
      <c r="P6" s="10"/>
      <c r="Q6" s="10"/>
      <c r="R6" s="10"/>
      <c r="S6" s="13"/>
      <c r="T6" s="10"/>
      <c r="U6" s="10"/>
      <c r="V6" s="10"/>
      <c r="W6" s="10"/>
    </row>
    <row r="7" spans="1:23" x14ac:dyDescent="0.25">
      <c r="A7" s="6">
        <v>5</v>
      </c>
      <c r="B7" s="10">
        <v>366.1198</v>
      </c>
      <c r="C7" s="6">
        <f>750.215+224.759*Laskuri!$B$13-1.873*Laskuri!$B$13^2</f>
        <v>1827.1849999999997</v>
      </c>
      <c r="D7" s="10">
        <f>Työkaluvälilehti!$B$10*(A7-A6)*Työkaluvälilehti!$B$2</f>
        <v>2510.2560000000003</v>
      </c>
      <c r="E7" s="10">
        <f>D7-B7-C7</f>
        <v>316.95120000000065</v>
      </c>
      <c r="F7" s="10">
        <f t="shared" ref="F7:F12" si="4">B7/(1+$B$1)^$A7+C7/(1+$B$1)^$A7</f>
        <v>1718.5117018408698</v>
      </c>
      <c r="G7" s="10">
        <f t="shared" si="0"/>
        <v>1966.8512605344481</v>
      </c>
      <c r="H7" s="10">
        <f t="shared" ref="H7:H11" si="5">G7-F7</f>
        <v>248.33955869357828</v>
      </c>
      <c r="I7" s="10"/>
      <c r="K7" s="10">
        <f t="shared" si="3"/>
        <v>248.33955869357834</v>
      </c>
      <c r="L7" s="10"/>
      <c r="M7" s="10"/>
      <c r="N7" s="10"/>
      <c r="O7" s="10"/>
      <c r="P7" s="10"/>
      <c r="Q7" s="10"/>
      <c r="R7" s="10"/>
      <c r="S7" s="13"/>
    </row>
    <row r="8" spans="1:23" x14ac:dyDescent="0.25">
      <c r="A8" s="6">
        <v>9</v>
      </c>
      <c r="B8" s="10">
        <v>366.1198</v>
      </c>
      <c r="C8" s="6">
        <f>750.215+224.759*Laskuri!$B$13-1.873*Laskuri!$B$13^2</f>
        <v>1827.1849999999997</v>
      </c>
      <c r="D8" s="10">
        <f>Työkaluvälilehti!$B$10*(A8-A7)*Työkaluvälilehti!$B$2</f>
        <v>2510.2560000000003</v>
      </c>
      <c r="E8" s="10">
        <f>D8-B8-C8</f>
        <v>316.95120000000065</v>
      </c>
      <c r="F8" s="10">
        <f t="shared" si="4"/>
        <v>1413.8238300632925</v>
      </c>
      <c r="G8" s="10">
        <f t="shared" si="0"/>
        <v>1618.133399589223</v>
      </c>
      <c r="H8" s="10">
        <f t="shared" si="5"/>
        <v>204.30956952593056</v>
      </c>
      <c r="I8" s="10"/>
      <c r="K8" s="10">
        <f t="shared" si="3"/>
        <v>204.30956952593073</v>
      </c>
      <c r="L8" s="10"/>
      <c r="M8" s="10"/>
      <c r="N8" s="10"/>
      <c r="O8" s="10"/>
      <c r="P8" s="10"/>
      <c r="Q8" s="10"/>
      <c r="R8" s="10"/>
      <c r="S8" s="13"/>
    </row>
    <row r="9" spans="1:23" x14ac:dyDescent="0.25">
      <c r="A9" s="6">
        <v>13</v>
      </c>
      <c r="B9" s="10">
        <v>366.1198</v>
      </c>
      <c r="C9" s="6">
        <f>750.215+224.759*Laskuri!$B$13-1.873*Laskuri!$B$13^2</f>
        <v>1827.1849999999997</v>
      </c>
      <c r="D9" s="10">
        <f>Työkaluvälilehti!$B$10*(A9-A8)*Työkaluvälilehti!$B$2</f>
        <v>2510.2560000000003</v>
      </c>
      <c r="E9" s="10">
        <f>D9-B9-C9</f>
        <v>316.95120000000065</v>
      </c>
      <c r="F9" s="10">
        <f t="shared" si="4"/>
        <v>1163.1563639128078</v>
      </c>
      <c r="G9" s="10">
        <f t="shared" si="0"/>
        <v>1331.242352385455</v>
      </c>
      <c r="H9" s="10">
        <f t="shared" si="5"/>
        <v>168.08598847264716</v>
      </c>
      <c r="I9" s="10"/>
      <c r="K9" s="10">
        <f t="shared" si="3"/>
        <v>168.08598847264727</v>
      </c>
      <c r="L9" s="10"/>
      <c r="M9" s="10"/>
      <c r="N9" s="10"/>
      <c r="O9" s="10"/>
      <c r="P9" s="10"/>
      <c r="Q9" s="10"/>
      <c r="R9" s="10"/>
      <c r="S9" s="13"/>
    </row>
    <row r="10" spans="1:23" x14ac:dyDescent="0.25">
      <c r="A10" s="6">
        <v>17</v>
      </c>
      <c r="B10" s="10">
        <v>366.1198</v>
      </c>
      <c r="C10" s="6">
        <f>750.215+224.759*Laskuri!$B$13-1.873*Laskuri!$B$13^2</f>
        <v>1827.1849999999997</v>
      </c>
      <c r="D10" s="10">
        <f>Työkaluvälilehti!$B$10*(A10-A9)*Työkaluvälilehti!$B$2</f>
        <v>2510.2560000000003</v>
      </c>
      <c r="E10" s="10">
        <f t="shared" si="1"/>
        <v>316.95120000000065</v>
      </c>
      <c r="F10" s="10">
        <f t="shared" si="4"/>
        <v>956.93161916099371</v>
      </c>
      <c r="G10" s="10">
        <f t="shared" si="0"/>
        <v>1095.2163778552804</v>
      </c>
      <c r="H10" s="10">
        <f t="shared" si="5"/>
        <v>138.28475869428667</v>
      </c>
      <c r="I10" s="10"/>
      <c r="K10" s="10">
        <f t="shared" si="3"/>
        <v>138.28475869428664</v>
      </c>
      <c r="L10" s="10"/>
      <c r="M10" s="10"/>
      <c r="N10" s="10"/>
      <c r="O10" s="10"/>
      <c r="P10" s="10"/>
      <c r="Q10" s="10"/>
      <c r="R10" s="10"/>
      <c r="S10" s="13"/>
    </row>
    <row r="11" spans="1:23" x14ac:dyDescent="0.25">
      <c r="A11" s="6">
        <v>21</v>
      </c>
      <c r="B11" s="10">
        <v>59</v>
      </c>
      <c r="C11" s="6">
        <f>750.215+224.759*Laskuri!$B$13-1.873*Laskuri!$B$13^2</f>
        <v>1827.1849999999997</v>
      </c>
      <c r="D11" s="10">
        <f>Työkaluvälilehti!$B$10*(A11-A10)*Työkaluvälilehti!$B$2</f>
        <v>2510.2560000000003</v>
      </c>
      <c r="E11" s="10">
        <f t="shared" si="1"/>
        <v>624.07100000000059</v>
      </c>
      <c r="F11" s="10">
        <f t="shared" si="4"/>
        <v>677.03170405029573</v>
      </c>
      <c r="G11" s="10">
        <f t="shared" si="0"/>
        <v>901.0372244941401</v>
      </c>
      <c r="H11" s="10">
        <f t="shared" si="5"/>
        <v>224.00552044384438</v>
      </c>
      <c r="I11" s="10"/>
      <c r="K11" s="10">
        <f t="shared" si="3"/>
        <v>224.00552044384438</v>
      </c>
      <c r="L11" s="10"/>
      <c r="M11" s="10"/>
      <c r="N11" s="10"/>
      <c r="O11" s="10"/>
      <c r="P11" s="10"/>
      <c r="Q11" s="10"/>
      <c r="R11" s="10"/>
      <c r="S11" s="13"/>
    </row>
    <row r="12" spans="1:23" x14ac:dyDescent="0.25">
      <c r="A12" s="6">
        <v>22</v>
      </c>
      <c r="B12" s="10">
        <v>400.56279999999998</v>
      </c>
      <c r="C12" s="6">
        <v>0</v>
      </c>
      <c r="D12" s="10">
        <v>0</v>
      </c>
      <c r="E12" s="10">
        <f t="shared" si="1"/>
        <v>-400.56279999999998</v>
      </c>
      <c r="F12" s="10">
        <f t="shared" si="4"/>
        <v>136.93234154209631</v>
      </c>
      <c r="G12" s="10">
        <f t="shared" si="0"/>
        <v>0</v>
      </c>
      <c r="H12" s="10">
        <f>G12-F12</f>
        <v>-136.93234154209631</v>
      </c>
      <c r="I12" s="10"/>
      <c r="K12" s="10">
        <f t="shared" si="3"/>
        <v>-136.93234154209631</v>
      </c>
      <c r="L12" s="10"/>
      <c r="M12" s="10"/>
      <c r="N12" s="10"/>
      <c r="O12" s="10"/>
      <c r="P12" s="10"/>
      <c r="Q12" s="10"/>
      <c r="R12" s="10"/>
      <c r="S12" s="13"/>
    </row>
    <row r="13" spans="1:23" x14ac:dyDescent="0.25">
      <c r="A13" s="6" t="s">
        <v>103</v>
      </c>
      <c r="B13" s="10" t="s">
        <v>96</v>
      </c>
      <c r="C13" s="6" t="s">
        <v>97</v>
      </c>
      <c r="D13" s="10" t="s">
        <v>98</v>
      </c>
      <c r="E13" s="10" t="s">
        <v>99</v>
      </c>
      <c r="F13" s="10" t="s">
        <v>100</v>
      </c>
      <c r="G13" s="10" t="s">
        <v>101</v>
      </c>
      <c r="H13" s="10" t="s">
        <v>102</v>
      </c>
      <c r="I13" s="10" t="s">
        <v>83</v>
      </c>
      <c r="K13" s="10"/>
      <c r="L13" s="10"/>
      <c r="M13" s="10"/>
      <c r="N13" s="10"/>
      <c r="O13" s="10"/>
      <c r="P13" s="10"/>
      <c r="Q13" s="10"/>
      <c r="R13" s="10"/>
    </row>
    <row r="14" spans="1:23" x14ac:dyDescent="0.25">
      <c r="B14" s="10">
        <f t="shared" ref="B14:H14" si="6">SUM(B5:B12)</f>
        <v>4670.7839999999997</v>
      </c>
      <c r="C14" s="10">
        <f t="shared" si="6"/>
        <v>9135.9249999999993</v>
      </c>
      <c r="D14" s="10">
        <f t="shared" si="6"/>
        <v>12551.280000000002</v>
      </c>
      <c r="E14" s="10">
        <f t="shared" si="6"/>
        <v>-1255.4289999999974</v>
      </c>
      <c r="F14" s="10">
        <f t="shared" si="6"/>
        <v>8807.2395605703568</v>
      </c>
      <c r="G14" s="10">
        <f t="shared" si="6"/>
        <v>6912.4806148585467</v>
      </c>
      <c r="H14" s="10">
        <f t="shared" si="6"/>
        <v>-1894.7589457118097</v>
      </c>
      <c r="I14" s="10">
        <f>H14/(1-(1/(1+$B$1))^(A12))</f>
        <v>-2878.9160139497385</v>
      </c>
      <c r="K14" s="10">
        <f>SUM(K5:K12)</f>
        <v>-1894.7589457118088</v>
      </c>
      <c r="L14" s="10"/>
      <c r="M14" s="10"/>
      <c r="N14" s="10"/>
      <c r="O14" s="10"/>
      <c r="P14" s="10"/>
      <c r="Q14" s="10"/>
      <c r="R14" s="10"/>
    </row>
    <row r="15" spans="1:23" x14ac:dyDescent="0.25">
      <c r="B15" s="10" t="s">
        <v>104</v>
      </c>
      <c r="C15" s="10">
        <v>1397.5694928126527</v>
      </c>
      <c r="D15" s="10"/>
      <c r="E15" s="10"/>
      <c r="F15" s="10"/>
      <c r="G15" s="10"/>
      <c r="H15" s="10"/>
      <c r="K15" s="10"/>
      <c r="L15" s="10"/>
      <c r="M15" s="10"/>
      <c r="N15" s="10"/>
      <c r="O15" s="10"/>
      <c r="P15" s="10"/>
      <c r="Q15" s="10"/>
      <c r="R15" s="10"/>
    </row>
    <row r="16" spans="1:23" x14ac:dyDescent="0.25">
      <c r="B16" s="10"/>
      <c r="C16" s="10"/>
      <c r="D16" s="10"/>
      <c r="E16" s="10"/>
      <c r="F16" s="10"/>
      <c r="G16" s="10"/>
      <c r="H16" s="10"/>
      <c r="K16" s="10"/>
      <c r="L16" s="10"/>
      <c r="M16" s="10"/>
      <c r="N16" s="10"/>
      <c r="O16" s="10"/>
      <c r="P16" s="10"/>
      <c r="Q16" s="10"/>
      <c r="R16" s="10"/>
    </row>
    <row r="17" spans="1:26" x14ac:dyDescent="0.25">
      <c r="B17" s="10"/>
      <c r="C17" s="10"/>
      <c r="D17" s="10"/>
      <c r="E17" s="10"/>
      <c r="F17" s="10"/>
      <c r="G17" s="10"/>
      <c r="H17" s="10"/>
      <c r="K17" s="10"/>
      <c r="L17" s="10"/>
      <c r="M17" s="10"/>
      <c r="N17" s="10"/>
      <c r="O17" s="10"/>
      <c r="P17" s="10"/>
      <c r="Q17" s="10"/>
      <c r="R17" s="10"/>
    </row>
    <row r="18" spans="1:26" x14ac:dyDescent="0.25">
      <c r="A18" s="6" t="s">
        <v>105</v>
      </c>
      <c r="B18" s="10"/>
      <c r="C18" s="10"/>
      <c r="D18" s="10"/>
      <c r="E18" s="10"/>
      <c r="F18" s="10"/>
      <c r="G18" s="10"/>
      <c r="H18" s="10"/>
      <c r="K18" s="10"/>
      <c r="L18" s="10"/>
      <c r="M18" s="10"/>
      <c r="N18" s="10"/>
      <c r="O18" s="10"/>
      <c r="P18" s="10"/>
      <c r="Q18" s="10"/>
      <c r="R18" s="10"/>
    </row>
    <row r="19" spans="1:26" x14ac:dyDescent="0.25">
      <c r="A19" s="6" t="s">
        <v>78</v>
      </c>
      <c r="B19" s="10" t="s">
        <v>96</v>
      </c>
      <c r="C19" s="6" t="s">
        <v>97</v>
      </c>
      <c r="D19" s="10" t="s">
        <v>98</v>
      </c>
      <c r="E19" s="10" t="s">
        <v>99</v>
      </c>
      <c r="F19" s="10" t="s">
        <v>100</v>
      </c>
      <c r="G19" s="10" t="s">
        <v>101</v>
      </c>
      <c r="H19" s="10" t="s">
        <v>102</v>
      </c>
      <c r="I19" s="10"/>
      <c r="K19" s="10"/>
      <c r="L19" s="10"/>
      <c r="M19" s="10"/>
      <c r="N19" s="10"/>
      <c r="O19" s="10"/>
      <c r="P19" s="10"/>
      <c r="Q19" s="10"/>
      <c r="R19" s="10"/>
    </row>
    <row r="20" spans="1:26" x14ac:dyDescent="0.25">
      <c r="A20" s="6">
        <v>0</v>
      </c>
      <c r="B20" s="10">
        <v>2707.34</v>
      </c>
      <c r="C20" s="6">
        <v>0</v>
      </c>
      <c r="D20" s="10">
        <v>0</v>
      </c>
      <c r="E20" s="10">
        <f>D20-B20-C20</f>
        <v>-2707.34</v>
      </c>
      <c r="F20" s="10">
        <f>B20/(1+$B$1)^$A20+C20/(1+$B$1)^$A20</f>
        <v>2707.34</v>
      </c>
      <c r="G20" s="10">
        <f t="shared" ref="G20:G27" si="7">D20/(1+$B$1)^$A20</f>
        <v>0</v>
      </c>
      <c r="H20" s="10">
        <f>G20-F20</f>
        <v>-2707.34</v>
      </c>
      <c r="I20" s="10"/>
      <c r="K20" s="10">
        <f>E20/(1+$B$1)^(A20)</f>
        <v>-2707.34</v>
      </c>
      <c r="L20" s="10"/>
      <c r="M20" s="10"/>
      <c r="N20" s="10"/>
      <c r="O20" s="10"/>
      <c r="P20" s="10"/>
      <c r="Q20" s="10"/>
      <c r="R20" s="10"/>
    </row>
    <row r="21" spans="1:26" x14ac:dyDescent="0.25">
      <c r="A21" s="6">
        <v>1</v>
      </c>
      <c r="B21" s="10">
        <v>320.15999999999997</v>
      </c>
      <c r="C21" s="6">
        <v>0</v>
      </c>
      <c r="D21" s="10">
        <v>0</v>
      </c>
      <c r="E21" s="10">
        <f t="shared" ref="E21:E27" si="8">D21-B21-C21</f>
        <v>-320.15999999999997</v>
      </c>
      <c r="F21" s="10">
        <f t="shared" ref="F21:F27" si="9">B21/(1+$B$1)^$A21+C21/(1+$B$1)^$A21</f>
        <v>304.91428571428565</v>
      </c>
      <c r="G21" s="10">
        <f t="shared" si="7"/>
        <v>0</v>
      </c>
      <c r="H21" s="10">
        <f>G21-F21</f>
        <v>-304.91428571428565</v>
      </c>
      <c r="I21" s="10"/>
      <c r="K21" s="10">
        <f t="shared" ref="K21:K27" si="10">E21/(1+$B$1)^(A21)</f>
        <v>-304.91428571428565</v>
      </c>
      <c r="L21" s="10"/>
      <c r="M21" s="10"/>
      <c r="N21" s="10"/>
      <c r="O21" s="10"/>
      <c r="P21" s="10"/>
      <c r="Q21" s="10"/>
      <c r="R21" s="10"/>
    </row>
    <row r="22" spans="1:26" x14ac:dyDescent="0.25">
      <c r="A22" s="6">
        <v>5</v>
      </c>
      <c r="B22" s="6">
        <v>441.2</v>
      </c>
      <c r="C22" s="6">
        <f>750.215+224.759*Laskuri!$B$13-1.873*Laskuri!$B$13^2</f>
        <v>1827.1849999999997</v>
      </c>
      <c r="D22" s="10">
        <f>Työkaluvälilehti!$B$10*(A22-A21)*Työkaluvälilehti!$B$2</f>
        <v>2510.2560000000003</v>
      </c>
      <c r="E22" s="10">
        <f>D22-B22-C22</f>
        <v>241.87100000000078</v>
      </c>
      <c r="F22" s="10">
        <f>B22/(1+$B$1)^$A22+C22/(1+$B$1)^$A22</f>
        <v>1777.3390031245549</v>
      </c>
      <c r="G22" s="10">
        <f t="shared" si="7"/>
        <v>1966.8512605344481</v>
      </c>
      <c r="H22" s="10">
        <f t="shared" ref="H22:H26" si="11">G22-F22</f>
        <v>189.51225740989321</v>
      </c>
      <c r="I22" s="10"/>
      <c r="K22" s="10">
        <f t="shared" si="10"/>
        <v>189.51225740989324</v>
      </c>
      <c r="L22" s="10"/>
      <c r="M22" s="10"/>
      <c r="N22" s="10"/>
      <c r="O22" s="10"/>
      <c r="P22" s="10"/>
      <c r="Q22" s="10"/>
      <c r="R22" s="10"/>
    </row>
    <row r="23" spans="1:26" x14ac:dyDescent="0.25">
      <c r="A23" s="6">
        <v>9</v>
      </c>
      <c r="B23" s="6">
        <v>441.2</v>
      </c>
      <c r="C23" s="6">
        <f>750.215+224.759*Laskuri!$B$13-1.873*Laskuri!$B$13^2</f>
        <v>1827.1849999999997</v>
      </c>
      <c r="D23" s="10">
        <f>Työkaluvälilehti!$B$10*(A23-A22)*Työkaluvälilehti!$B$2</f>
        <v>2510.2560000000003</v>
      </c>
      <c r="E23" s="10">
        <f>D23-B23-C23</f>
        <v>241.87100000000078</v>
      </c>
      <c r="F23" s="10">
        <f>B23/(1+$B$1)^$A23+C23/(1+$B$1)^$A23</f>
        <v>1462.2211964147079</v>
      </c>
      <c r="G23" s="10">
        <f t="shared" si="7"/>
        <v>1618.133399589223</v>
      </c>
      <c r="H23" s="10">
        <f t="shared" si="11"/>
        <v>155.91220317451507</v>
      </c>
      <c r="I23" s="10"/>
      <c r="K23" s="10">
        <f t="shared" si="10"/>
        <v>155.91220317451535</v>
      </c>
      <c r="L23" s="10"/>
      <c r="M23" s="10"/>
      <c r="N23" s="10"/>
      <c r="O23" s="10"/>
      <c r="P23" s="10"/>
      <c r="Q23" s="10"/>
      <c r="R23" s="10"/>
    </row>
    <row r="24" spans="1:26" x14ac:dyDescent="0.25">
      <c r="A24" s="6">
        <v>13</v>
      </c>
      <c r="B24" s="6">
        <v>441.2</v>
      </c>
      <c r="C24" s="6">
        <f>750.215+224.759*Laskuri!$B$13-1.873*Laskuri!$B$13^2</f>
        <v>1827.1849999999997</v>
      </c>
      <c r="D24" s="10">
        <f>Työkaluvälilehti!$B$10*(A24-A23)*Työkaluvälilehti!$B$2</f>
        <v>2510.2560000000003</v>
      </c>
      <c r="E24" s="10">
        <f>D24-B24-C24</f>
        <v>241.87100000000078</v>
      </c>
      <c r="F24" s="10">
        <f>B24/(1+$B$1)^$A24+C24/(1+$B$1)^$A24</f>
        <v>1202.9729969835266</v>
      </c>
      <c r="G24" s="10">
        <f t="shared" si="7"/>
        <v>1331.242352385455</v>
      </c>
      <c r="H24" s="10">
        <f t="shared" si="11"/>
        <v>128.26935540192835</v>
      </c>
      <c r="I24" s="10"/>
      <c r="K24" s="10">
        <f t="shared" si="10"/>
        <v>128.26935540192849</v>
      </c>
      <c r="L24" s="10"/>
      <c r="M24" s="10"/>
      <c r="N24" s="10"/>
      <c r="O24" s="10"/>
      <c r="P24" s="10"/>
      <c r="Q24" s="10"/>
      <c r="R24" s="10"/>
    </row>
    <row r="25" spans="1:26" x14ac:dyDescent="0.25">
      <c r="A25" s="6">
        <v>17</v>
      </c>
      <c r="B25" s="6">
        <v>441.2</v>
      </c>
      <c r="C25" s="6">
        <f>750.215+224.759*Laskuri!$B$13-1.873*Laskuri!$B$13^2</f>
        <v>1827.1849999999997</v>
      </c>
      <c r="D25" s="10">
        <f>Työkaluvälilehti!$B$10*(A25-A24)*Työkaluvälilehti!$B$2</f>
        <v>2510.2560000000003</v>
      </c>
      <c r="E25" s="10">
        <f t="shared" si="8"/>
        <v>241.87100000000078</v>
      </c>
      <c r="F25" s="10">
        <f t="shared" si="9"/>
        <v>989.68886172615441</v>
      </c>
      <c r="G25" s="10">
        <f t="shared" si="7"/>
        <v>1095.2163778552804</v>
      </c>
      <c r="H25" s="10">
        <f t="shared" si="11"/>
        <v>105.52751612912596</v>
      </c>
      <c r="I25" s="10"/>
      <c r="K25" s="10">
        <f t="shared" si="10"/>
        <v>105.527516129126</v>
      </c>
      <c r="L25" s="10"/>
      <c r="M25" s="10"/>
      <c r="N25" s="10"/>
      <c r="O25" s="10"/>
      <c r="P25" s="10"/>
      <c r="Q25" s="10"/>
      <c r="R25" s="10"/>
    </row>
    <row r="26" spans="1:26" x14ac:dyDescent="0.25">
      <c r="A26" s="6">
        <v>21</v>
      </c>
      <c r="B26" s="10">
        <v>59</v>
      </c>
      <c r="C26" s="6">
        <f>750.215+224.759*Laskuri!$B$13-1.873*Laskuri!$B$13^2</f>
        <v>1827.1849999999997</v>
      </c>
      <c r="D26" s="10">
        <f>Työkaluvälilehti!$B$10*(A26-A25)*Työkaluvälilehti!$B$2</f>
        <v>2510.2560000000003</v>
      </c>
      <c r="E26" s="10">
        <f t="shared" si="8"/>
        <v>624.07100000000059</v>
      </c>
      <c r="F26" s="10">
        <f t="shared" si="9"/>
        <v>677.03170405029573</v>
      </c>
      <c r="G26" s="10">
        <f t="shared" si="7"/>
        <v>901.0372244941401</v>
      </c>
      <c r="H26" s="10">
        <f t="shared" si="11"/>
        <v>224.00552044384438</v>
      </c>
      <c r="I26" s="10"/>
      <c r="K26" s="10">
        <f t="shared" si="10"/>
        <v>224.00552044384438</v>
      </c>
      <c r="L26" s="10"/>
      <c r="M26" s="10"/>
      <c r="N26" s="10"/>
      <c r="O26" s="10"/>
      <c r="P26" s="10"/>
      <c r="Q26" s="10"/>
      <c r="R26" s="10"/>
    </row>
    <row r="27" spans="1:26" x14ac:dyDescent="0.25">
      <c r="A27" s="6">
        <v>22</v>
      </c>
      <c r="B27" s="10">
        <v>400.56279999999998</v>
      </c>
      <c r="C27" s="6">
        <v>0</v>
      </c>
      <c r="D27" s="10">
        <v>0</v>
      </c>
      <c r="E27" s="10">
        <f t="shared" si="8"/>
        <v>-400.56279999999998</v>
      </c>
      <c r="F27" s="10">
        <f t="shared" si="9"/>
        <v>136.93234154209631</v>
      </c>
      <c r="G27" s="10">
        <f t="shared" si="7"/>
        <v>0</v>
      </c>
      <c r="H27" s="10">
        <f>G27-F27</f>
        <v>-136.93234154209631</v>
      </c>
      <c r="I27" s="10"/>
      <c r="K27" s="10">
        <f t="shared" si="10"/>
        <v>-136.93234154209631</v>
      </c>
      <c r="L27" s="10"/>
      <c r="M27" s="10"/>
      <c r="N27" s="10"/>
      <c r="O27" s="10"/>
      <c r="P27" s="10"/>
      <c r="Q27" s="10"/>
      <c r="R27" s="10"/>
    </row>
    <row r="28" spans="1:26" x14ac:dyDescent="0.25">
      <c r="A28" s="6" t="s">
        <v>103</v>
      </c>
      <c r="B28" s="10" t="s">
        <v>96</v>
      </c>
      <c r="C28" s="6" t="s">
        <v>97</v>
      </c>
      <c r="D28" s="10" t="s">
        <v>98</v>
      </c>
      <c r="E28" s="10" t="s">
        <v>99</v>
      </c>
      <c r="F28" s="10" t="s">
        <v>100</v>
      </c>
      <c r="G28" s="10" t="s">
        <v>101</v>
      </c>
      <c r="H28" s="10" t="s">
        <v>102</v>
      </c>
      <c r="I28" s="10" t="s">
        <v>83</v>
      </c>
      <c r="K28" s="10"/>
      <c r="L28" s="10"/>
      <c r="M28" s="10"/>
      <c r="N28" s="10"/>
      <c r="O28" s="10"/>
      <c r="P28" s="10"/>
      <c r="Q28" s="10"/>
      <c r="R28" s="10"/>
    </row>
    <row r="29" spans="1:26" x14ac:dyDescent="0.25">
      <c r="B29" s="10">
        <f>SUM(B20:B27)</f>
        <v>5251.862799999999</v>
      </c>
      <c r="C29" s="10">
        <f>SUM(C20:C27)</f>
        <v>9135.9249999999993</v>
      </c>
      <c r="D29" s="10">
        <f>SUM(D20:D27)</f>
        <v>12551.280000000002</v>
      </c>
      <c r="E29" s="10">
        <f>SUM(E20:E27)</f>
        <v>-1836.5077999999953</v>
      </c>
      <c r="F29" s="10">
        <f>SUM(F20:F27)</f>
        <v>9258.4403895556225</v>
      </c>
      <c r="G29" s="10">
        <f t="shared" ref="G29" si="12">SUM(G20:G27)</f>
        <v>6912.4806148585467</v>
      </c>
      <c r="H29" s="10">
        <f>SUM(H20:H27)</f>
        <v>-2345.9597746970749</v>
      </c>
      <c r="I29" s="10">
        <f>H29/(1-(1/(1+$B$1))^(A27))</f>
        <v>-3564.4751427312044</v>
      </c>
      <c r="K29" s="10">
        <f>SUM(K20:K27)</f>
        <v>-2345.9597746970744</v>
      </c>
      <c r="L29" s="10"/>
      <c r="M29" s="10"/>
      <c r="N29" s="10"/>
      <c r="O29" s="10"/>
      <c r="P29" s="10"/>
      <c r="Q29" s="10"/>
      <c r="R29" s="10"/>
    </row>
    <row r="30" spans="1:26" x14ac:dyDescent="0.25">
      <c r="B30" s="10" t="s">
        <v>104</v>
      </c>
      <c r="C30" s="10">
        <v>1436.0586439748142</v>
      </c>
      <c r="D30" s="10"/>
      <c r="E30" s="10"/>
      <c r="F30" s="10"/>
      <c r="G30" s="10"/>
      <c r="H30" s="10"/>
      <c r="L30" s="10"/>
      <c r="M30" s="10"/>
      <c r="N30" s="10"/>
      <c r="O30" s="10"/>
      <c r="P30" s="10"/>
      <c r="Q30" s="10"/>
      <c r="R30" s="10"/>
    </row>
    <row r="31" spans="1:26" x14ac:dyDescent="0.25">
      <c r="A31" s="6" t="s">
        <v>106</v>
      </c>
      <c r="B31" s="10"/>
      <c r="C31" s="10"/>
      <c r="D31" s="10"/>
      <c r="E31" s="10"/>
      <c r="F31" s="10"/>
      <c r="G31" s="10"/>
      <c r="H31" s="10"/>
      <c r="L31" s="10"/>
      <c r="M31" s="10"/>
      <c r="N31" s="10"/>
      <c r="O31" s="10"/>
      <c r="P31" s="10"/>
      <c r="Q31" s="10"/>
      <c r="R31" s="10"/>
    </row>
    <row r="32" spans="1:26" x14ac:dyDescent="0.25">
      <c r="A32" s="6" t="s">
        <v>78</v>
      </c>
      <c r="B32" s="10" t="s">
        <v>107</v>
      </c>
      <c r="C32" s="10" t="s">
        <v>98</v>
      </c>
      <c r="D32" s="10" t="s">
        <v>99</v>
      </c>
      <c r="E32" s="10" t="s">
        <v>100</v>
      </c>
      <c r="F32" s="10" t="s">
        <v>101</v>
      </c>
      <c r="G32" s="10" t="s">
        <v>102</v>
      </c>
      <c r="H32" s="10"/>
      <c r="L32" s="10"/>
      <c r="M32" s="10"/>
      <c r="N32" s="10"/>
      <c r="O32" s="10"/>
      <c r="P32" s="10"/>
      <c r="Q32" s="10"/>
      <c r="R32" s="10"/>
      <c r="Z32" s="10"/>
    </row>
    <row r="33" spans="1:18" x14ac:dyDescent="0.25">
      <c r="A33" s="6">
        <v>0</v>
      </c>
      <c r="B33" s="10">
        <v>370</v>
      </c>
      <c r="C33" s="10">
        <v>0</v>
      </c>
      <c r="D33" s="10">
        <f>C33-B33</f>
        <v>-370</v>
      </c>
      <c r="E33" s="10">
        <f>B33/(1+$B$1)^$A33</f>
        <v>370</v>
      </c>
      <c r="F33" s="10">
        <f>C33/(1+$B$1)^$A33</f>
        <v>0</v>
      </c>
      <c r="G33" s="10">
        <f>F33-E33</f>
        <v>-370</v>
      </c>
      <c r="H33" s="10"/>
      <c r="L33" s="10"/>
      <c r="M33" s="10"/>
      <c r="N33" s="10"/>
      <c r="O33" s="10"/>
      <c r="P33" s="10"/>
      <c r="Q33" s="10"/>
      <c r="R33" s="10"/>
    </row>
    <row r="34" spans="1:18" x14ac:dyDescent="0.25">
      <c r="A34" s="6">
        <v>22</v>
      </c>
      <c r="B34" s="10">
        <v>4633.3675838602585</v>
      </c>
      <c r="C34" s="10" t="e">
        <f>Työkaluvälilehti!$B$2*('5 % korko'!A34-'5 % korko'!A33)*Työkaluvälilehti!$B$11</f>
        <v>#REF!</v>
      </c>
      <c r="D34" s="10" t="e">
        <f t="shared" ref="D34:D36" si="13">C34-B34</f>
        <v>#REF!</v>
      </c>
      <c r="E34" s="10">
        <f>B34/(1+$B$1)^$A34</f>
        <v>1583.916111239562</v>
      </c>
      <c r="F34" s="10" t="e">
        <f t="shared" ref="F34:F36" si="14">C34/(1+$B$1)^$A34</f>
        <v>#REF!</v>
      </c>
      <c r="G34" s="10" t="e">
        <f>F34-E34</f>
        <v>#REF!</v>
      </c>
      <c r="H34" s="10"/>
      <c r="L34" s="10"/>
      <c r="M34" s="10"/>
      <c r="N34" s="10"/>
      <c r="O34" s="10"/>
      <c r="P34" s="10"/>
      <c r="Q34" s="10"/>
      <c r="R34" s="10"/>
    </row>
    <row r="35" spans="1:18" x14ac:dyDescent="0.25">
      <c r="A35" s="6">
        <v>43</v>
      </c>
      <c r="B35" s="10">
        <v>4633.3675838602585</v>
      </c>
      <c r="C35" s="10" t="e">
        <f>Työkaluvälilehti!$B$2*('5 % korko'!A35-'5 % korko'!A34)*Työkaluvälilehti!$B$11</f>
        <v>#REF!</v>
      </c>
      <c r="D35" s="10" t="e">
        <f t="shared" si="13"/>
        <v>#REF!</v>
      </c>
      <c r="E35" s="10">
        <f t="shared" ref="E35:E36" si="15">B35/(1+$B$1)^$A35</f>
        <v>568.53459436123103</v>
      </c>
      <c r="F35" s="10" t="e">
        <f t="shared" si="14"/>
        <v>#REF!</v>
      </c>
      <c r="G35" s="10" t="e">
        <f t="shared" ref="G35:G36" si="16">F35-E35</f>
        <v>#REF!</v>
      </c>
      <c r="H35" s="10"/>
      <c r="L35" s="10"/>
      <c r="M35" s="10"/>
      <c r="N35" s="10"/>
      <c r="O35" s="10"/>
      <c r="P35" s="10"/>
      <c r="Q35" s="10"/>
      <c r="R35" s="10"/>
    </row>
    <row r="36" spans="1:18" x14ac:dyDescent="0.25">
      <c r="A36" s="6">
        <v>64</v>
      </c>
      <c r="B36" s="10">
        <v>5114.3867476233245</v>
      </c>
      <c r="C36" s="10" t="e">
        <f>Työkaluvälilehti!$B$2*('5 % korko'!A36-'5 % korko'!A35)*Työkaluvälilehti!$B$11</f>
        <v>#REF!</v>
      </c>
      <c r="D36" s="10" t="e">
        <f t="shared" si="13"/>
        <v>#REF!</v>
      </c>
      <c r="E36" s="10">
        <f t="shared" si="15"/>
        <v>225.25706731342919</v>
      </c>
      <c r="F36" s="10" t="e">
        <f t="shared" si="14"/>
        <v>#REF!</v>
      </c>
      <c r="G36" s="10" t="e">
        <f t="shared" si="16"/>
        <v>#REF!</v>
      </c>
      <c r="H36" s="10"/>
      <c r="L36" s="10"/>
      <c r="M36" s="10"/>
      <c r="N36" s="10"/>
      <c r="O36" s="10"/>
      <c r="P36" s="10"/>
      <c r="Q36" s="10"/>
      <c r="R36" s="10"/>
    </row>
    <row r="37" spans="1:18" x14ac:dyDescent="0.25">
      <c r="A37" s="6">
        <v>86</v>
      </c>
      <c r="B37" s="10">
        <v>4633.3675838602585</v>
      </c>
      <c r="C37" s="10" t="e">
        <f>Työkaluvälilehti!$B$2*('5 % korko'!A37-'5 % korko'!A36)*Työkaluvälilehti!$B$11</f>
        <v>#REF!</v>
      </c>
      <c r="D37" s="10" t="e">
        <f>C37-B37</f>
        <v>#REF!</v>
      </c>
      <c r="E37" s="10">
        <f>B37/(1+$B$1)^$A37</f>
        <v>69.761696894376627</v>
      </c>
      <c r="F37" s="10" t="e">
        <f>C37/(1+$B$1)^$A37</f>
        <v>#REF!</v>
      </c>
      <c r="G37" s="10" t="e">
        <f>F37-E37</f>
        <v>#REF!</v>
      </c>
      <c r="H37" s="10"/>
      <c r="L37" s="10"/>
      <c r="M37" s="10"/>
      <c r="N37" s="10"/>
      <c r="O37" s="10"/>
      <c r="P37" s="10"/>
      <c r="Q37" s="10"/>
      <c r="R37" s="10"/>
    </row>
    <row r="38" spans="1:18" x14ac:dyDescent="0.25">
      <c r="A38" s="6" t="s">
        <v>103</v>
      </c>
      <c r="B38" s="10" t="s">
        <v>107</v>
      </c>
      <c r="C38" s="10" t="s">
        <v>98</v>
      </c>
      <c r="D38" s="10" t="s">
        <v>99</v>
      </c>
      <c r="E38" s="10" t="s">
        <v>100</v>
      </c>
      <c r="F38" s="10" t="s">
        <v>101</v>
      </c>
      <c r="G38" s="10" t="s">
        <v>102</v>
      </c>
      <c r="H38" s="10" t="s">
        <v>83</v>
      </c>
      <c r="L38" s="10"/>
      <c r="M38" s="10"/>
      <c r="N38" s="10"/>
      <c r="O38" s="10"/>
      <c r="P38" s="10"/>
      <c r="Q38" s="10"/>
      <c r="R38" s="10"/>
    </row>
    <row r="39" spans="1:18" x14ac:dyDescent="0.25">
      <c r="B39" s="10">
        <f t="shared" ref="B39:G39" si="17">SUM(B33:B37)</f>
        <v>19384.489499204101</v>
      </c>
      <c r="C39" s="10" t="e">
        <f t="shared" si="17"/>
        <v>#REF!</v>
      </c>
      <c r="D39" s="10" t="e">
        <f t="shared" si="17"/>
        <v>#REF!</v>
      </c>
      <c r="E39" s="10">
        <f t="shared" si="17"/>
        <v>2817.4694698085991</v>
      </c>
      <c r="F39" s="10" t="e">
        <f t="shared" si="17"/>
        <v>#REF!</v>
      </c>
      <c r="G39" s="10" t="e">
        <f t="shared" si="17"/>
        <v>#REF!</v>
      </c>
      <c r="H39" s="10" t="e">
        <f>G33+G34+G35+G36+G37/(1-EXP(-$B$1*A37))</f>
        <v>#REF!</v>
      </c>
      <c r="L39" s="10"/>
      <c r="M39" s="10"/>
      <c r="N39" s="10"/>
      <c r="O39" s="10"/>
      <c r="P39" s="10"/>
      <c r="Q39" s="10"/>
      <c r="R39" s="10"/>
    </row>
    <row r="40" spans="1:18" x14ac:dyDescent="0.25">
      <c r="B40" s="10"/>
      <c r="C40" s="10"/>
      <c r="D40" s="10"/>
      <c r="E40" s="10"/>
      <c r="F40" s="10"/>
      <c r="G40" s="10"/>
      <c r="H40" s="10"/>
      <c r="L40" s="10"/>
      <c r="M40" s="10"/>
      <c r="N40" s="10"/>
      <c r="O40" s="10"/>
      <c r="P40" s="10"/>
      <c r="Q40" s="10"/>
      <c r="R40" s="10"/>
    </row>
    <row r="41" spans="1:18" x14ac:dyDescent="0.25">
      <c r="B41" s="10"/>
      <c r="C41" s="10"/>
      <c r="D41" s="10"/>
      <c r="E41" s="10"/>
      <c r="F41" s="10"/>
      <c r="G41" s="10"/>
      <c r="H41" s="10"/>
      <c r="L41" s="10"/>
      <c r="M41" s="10"/>
      <c r="N41" s="10"/>
      <c r="O41" s="10"/>
      <c r="P41" s="10"/>
      <c r="Q41" s="10"/>
      <c r="R41" s="10"/>
    </row>
    <row r="42" spans="1:18" x14ac:dyDescent="0.25">
      <c r="B42" s="10" t="s">
        <v>104</v>
      </c>
      <c r="C42" s="10">
        <v>2803.0909820774596</v>
      </c>
      <c r="D42" s="10"/>
      <c r="E42" s="10"/>
      <c r="F42" s="10"/>
      <c r="G42" s="10"/>
      <c r="H42" s="10"/>
      <c r="L42" s="10"/>
      <c r="M42" s="10"/>
      <c r="N42" s="10"/>
      <c r="O42" s="10"/>
      <c r="P42" s="10"/>
      <c r="Q42" s="10"/>
      <c r="R42" s="10"/>
    </row>
    <row r="43" spans="1:18" x14ac:dyDescent="0.25">
      <c r="A43" s="1" t="s">
        <v>126</v>
      </c>
      <c r="B43" s="10"/>
      <c r="C43" s="10"/>
      <c r="D43" s="10"/>
      <c r="E43" s="10"/>
      <c r="F43" s="10"/>
      <c r="G43" s="10"/>
      <c r="H43" s="10"/>
      <c r="L43" s="10"/>
      <c r="M43" s="10"/>
      <c r="N43" s="10"/>
      <c r="O43" s="10"/>
      <c r="P43" s="10"/>
      <c r="Q43" s="10"/>
      <c r="R43" s="10"/>
    </row>
    <row r="44" spans="1:18" x14ac:dyDescent="0.25">
      <c r="A44" s="6" t="s">
        <v>78</v>
      </c>
      <c r="B44" s="10" t="s">
        <v>107</v>
      </c>
      <c r="C44" s="10" t="s">
        <v>98</v>
      </c>
      <c r="D44" s="10" t="s">
        <v>99</v>
      </c>
      <c r="E44" s="10" t="s">
        <v>100</v>
      </c>
      <c r="F44" s="10" t="s">
        <v>101</v>
      </c>
      <c r="G44" s="10" t="s">
        <v>102</v>
      </c>
      <c r="H44" s="10"/>
      <c r="L44" s="10"/>
      <c r="M44" s="10"/>
      <c r="N44" s="10"/>
      <c r="O44" s="10"/>
      <c r="P44" s="10"/>
      <c r="Q44" s="10"/>
      <c r="R44" s="10"/>
    </row>
    <row r="45" spans="1:18" x14ac:dyDescent="0.25">
      <c r="A45" s="6">
        <v>0</v>
      </c>
      <c r="B45" s="10">
        <v>1241.0517070707067</v>
      </c>
      <c r="C45" s="10">
        <v>0</v>
      </c>
      <c r="D45" s="10">
        <f>C45-B45</f>
        <v>-1241.0517070707067</v>
      </c>
      <c r="E45" s="10">
        <f>B45/(1+$B$1)^$A45</f>
        <v>1241.0517070707067</v>
      </c>
      <c r="F45" s="10">
        <f>C45/(1+$B$1)^$A45</f>
        <v>0</v>
      </c>
      <c r="G45" s="10">
        <f>F45-E45</f>
        <v>-1241.0517070707067</v>
      </c>
      <c r="H45" s="10"/>
      <c r="L45" s="10"/>
      <c r="M45" s="10"/>
      <c r="N45" s="10"/>
      <c r="O45" s="10"/>
      <c r="P45" s="10"/>
      <c r="Q45" s="10"/>
      <c r="R45" s="10"/>
    </row>
    <row r="46" spans="1:18" x14ac:dyDescent="0.25">
      <c r="A46" s="6">
        <v>1</v>
      </c>
      <c r="B46" s="10">
        <v>88.968222222222209</v>
      </c>
      <c r="C46" s="10">
        <v>0</v>
      </c>
      <c r="D46" s="10">
        <f t="shared" ref="D46:D48" si="18">C46-B46</f>
        <v>-88.968222222222209</v>
      </c>
      <c r="E46" s="10">
        <f>B46/(1+$B$1)^$A46</f>
        <v>84.731640211640197</v>
      </c>
      <c r="F46" s="10">
        <f t="shared" ref="F46:F48" si="19">C46/(1+$B$1)^$A46</f>
        <v>0</v>
      </c>
      <c r="G46" s="10">
        <f>F46-E46</f>
        <v>-84.731640211640197</v>
      </c>
      <c r="H46" s="10"/>
      <c r="L46" s="10"/>
      <c r="M46" s="10"/>
      <c r="N46" s="10"/>
      <c r="O46" s="10"/>
      <c r="P46" s="10"/>
      <c r="Q46" s="10"/>
      <c r="R46" s="10"/>
    </row>
    <row r="47" spans="1:18" x14ac:dyDescent="0.25">
      <c r="A47" s="6">
        <v>2</v>
      </c>
      <c r="B47" s="10">
        <v>742.82444444444434</v>
      </c>
      <c r="C47" s="10">
        <f>Työkaluvälilehti!$B$12*(A47-A46)*Työkaluvälilehti!$B$7</f>
        <v>1236</v>
      </c>
      <c r="D47" s="10">
        <f t="shared" si="18"/>
        <v>493.17555555555566</v>
      </c>
      <c r="E47" s="10">
        <f t="shared" ref="E47:F54" si="20">B47/(1+$B$1)^$A47</f>
        <v>673.76366843033497</v>
      </c>
      <c r="F47" s="10">
        <f t="shared" si="19"/>
        <v>1121.0884353741496</v>
      </c>
      <c r="G47" s="10">
        <f t="shared" ref="G47:G48" si="21">F47-E47</f>
        <v>447.32476694381467</v>
      </c>
      <c r="H47" s="10"/>
      <c r="L47" s="10"/>
      <c r="M47" s="10"/>
      <c r="N47" s="10"/>
      <c r="O47" s="10"/>
      <c r="P47" s="10"/>
      <c r="Q47" s="10"/>
      <c r="R47" s="10"/>
    </row>
    <row r="48" spans="1:18" x14ac:dyDescent="0.25">
      <c r="A48" s="6">
        <v>3</v>
      </c>
      <c r="B48" s="10">
        <v>742.82444444444434</v>
      </c>
      <c r="C48" s="10">
        <f>Työkaluvälilehti!$B$12*(A48-A47)*Työkaluvälilehti!$B$7</f>
        <v>1236</v>
      </c>
      <c r="D48" s="10">
        <f t="shared" si="18"/>
        <v>493.17555555555566</v>
      </c>
      <c r="E48" s="10">
        <f t="shared" si="20"/>
        <v>641.67968421936655</v>
      </c>
      <c r="F48" s="10">
        <f t="shared" si="19"/>
        <v>1067.7032717849042</v>
      </c>
      <c r="G48" s="10">
        <f t="shared" si="21"/>
        <v>426.0235875655377</v>
      </c>
      <c r="H48" s="10"/>
      <c r="L48" s="10"/>
      <c r="M48" s="10"/>
      <c r="N48" s="10"/>
      <c r="O48" s="10"/>
      <c r="P48" s="10"/>
      <c r="Q48" s="10"/>
      <c r="R48" s="10"/>
    </row>
    <row r="49" spans="1:18" x14ac:dyDescent="0.25">
      <c r="A49" s="6">
        <v>4</v>
      </c>
      <c r="B49" s="10">
        <v>742.82444444444434</v>
      </c>
      <c r="C49" s="10">
        <f>Työkaluvälilehti!$B$12*(A49-A48)*Työkaluvälilehti!$B$7</f>
        <v>1236</v>
      </c>
      <c r="D49" s="10">
        <f>C49-B49</f>
        <v>493.17555555555566</v>
      </c>
      <c r="E49" s="10">
        <f t="shared" si="20"/>
        <v>611.1235087803492</v>
      </c>
      <c r="F49" s="10">
        <f t="shared" si="20"/>
        <v>1016.8602588427661</v>
      </c>
      <c r="G49" s="10">
        <f>F49-E49</f>
        <v>405.73675006241695</v>
      </c>
      <c r="H49" s="10"/>
      <c r="L49" s="10"/>
      <c r="M49" s="10"/>
      <c r="N49" s="10"/>
      <c r="O49" s="10"/>
      <c r="P49" s="10"/>
      <c r="Q49" s="10"/>
      <c r="R49" s="10"/>
    </row>
    <row r="50" spans="1:18" x14ac:dyDescent="0.25">
      <c r="A50" s="6">
        <v>5</v>
      </c>
      <c r="B50" s="10">
        <v>742.82444444444434</v>
      </c>
      <c r="C50" s="10">
        <f>Työkaluvälilehti!$B$12*(A50-A49)*Työkaluvälilehti!$B$7</f>
        <v>1236</v>
      </c>
      <c r="D50" s="10">
        <f>C50-B50</f>
        <v>493.17555555555566</v>
      </c>
      <c r="E50" s="10">
        <f t="shared" si="20"/>
        <v>582.02238931461818</v>
      </c>
      <c r="F50" s="10">
        <f t="shared" si="20"/>
        <v>968.43834175501524</v>
      </c>
      <c r="G50" s="10">
        <f>F50-E50</f>
        <v>386.41595244039706</v>
      </c>
      <c r="H50" s="10"/>
      <c r="L50" s="10"/>
      <c r="M50" s="10"/>
      <c r="N50" s="10"/>
      <c r="O50" s="10"/>
      <c r="P50" s="10"/>
      <c r="Q50" s="10"/>
      <c r="R50" s="10"/>
    </row>
    <row r="51" spans="1:18" x14ac:dyDescent="0.25">
      <c r="A51" s="6">
        <v>6</v>
      </c>
      <c r="B51" s="10">
        <v>742.82444444444434</v>
      </c>
      <c r="C51" s="10">
        <f>Työkaluvälilehti!$B$12*(A51-A50)*Työkaluvälilehti!$B$7</f>
        <v>1236</v>
      </c>
      <c r="D51" s="10">
        <f>C51-B51</f>
        <v>493.17555555555566</v>
      </c>
      <c r="E51" s="10">
        <f t="shared" si="20"/>
        <v>554.30703744249365</v>
      </c>
      <c r="F51" s="10">
        <f t="shared" si="20"/>
        <v>922.3222302428718</v>
      </c>
      <c r="G51" s="10">
        <f>F51-E51</f>
        <v>368.01519280037814</v>
      </c>
      <c r="H51" s="10"/>
      <c r="L51" s="10"/>
      <c r="M51" s="10"/>
      <c r="N51" s="10"/>
      <c r="O51" s="10"/>
      <c r="P51" s="10"/>
      <c r="Q51" s="10"/>
      <c r="R51" s="10"/>
    </row>
    <row r="52" spans="1:18" x14ac:dyDescent="0.25">
      <c r="A52" s="6">
        <v>7</v>
      </c>
      <c r="B52" s="10">
        <v>742.82444444444434</v>
      </c>
      <c r="C52" s="10">
        <f>Työkaluvälilehti!$B$12*(A52-A51)*Työkaluvälilehti!$B$7</f>
        <v>1236</v>
      </c>
      <c r="D52" s="10">
        <f t="shared" ref="D52:D53" si="22">C52-B52</f>
        <v>493.17555555555566</v>
      </c>
      <c r="E52" s="10">
        <f>B52/(1+$B$1)^$A52</f>
        <v>527.91146423094619</v>
      </c>
      <c r="F52" s="10">
        <f t="shared" si="20"/>
        <v>878.40212404083013</v>
      </c>
      <c r="G52" s="10">
        <f>F52-E52</f>
        <v>350.49065980988394</v>
      </c>
      <c r="H52" s="10"/>
      <c r="L52" s="10"/>
      <c r="M52" s="10"/>
      <c r="N52" s="10"/>
      <c r="O52" s="10"/>
      <c r="P52" s="10"/>
      <c r="Q52" s="10"/>
      <c r="R52" s="10"/>
    </row>
    <row r="53" spans="1:18" x14ac:dyDescent="0.25">
      <c r="A53" s="6">
        <v>8</v>
      </c>
      <c r="B53" s="10">
        <v>742.82444444444434</v>
      </c>
      <c r="C53" s="10">
        <f>Työkaluvälilehti!$B$12*(A53-A52)*Työkaluvälilehti!$B$7</f>
        <v>1236</v>
      </c>
      <c r="D53" s="10">
        <f t="shared" si="22"/>
        <v>493.17555555555566</v>
      </c>
      <c r="E53" s="10">
        <f t="shared" ref="E53" si="23">B53/(1+$B$1)^$A53</f>
        <v>502.77282307709169</v>
      </c>
      <c r="F53" s="10">
        <f t="shared" si="20"/>
        <v>836.5734514674574</v>
      </c>
      <c r="G53" s="10">
        <f t="shared" ref="G53:G54" si="24">F53-E53</f>
        <v>333.80062839036572</v>
      </c>
      <c r="H53" s="10"/>
      <c r="L53" s="10"/>
      <c r="M53" s="10"/>
      <c r="N53" s="10"/>
      <c r="O53" s="10"/>
      <c r="P53" s="10"/>
      <c r="Q53" s="10"/>
      <c r="R53" s="10"/>
    </row>
    <row r="54" spans="1:18" x14ac:dyDescent="0.25">
      <c r="A54" s="6">
        <v>9</v>
      </c>
      <c r="B54" s="10">
        <v>742.82444444444434</v>
      </c>
      <c r="C54" s="10">
        <f>Työkaluvälilehti!$B$12*(A54-A53)*Työkaluvälilehti!$B$7</f>
        <v>1236</v>
      </c>
      <c r="D54" s="10">
        <f>C54-B54</f>
        <v>493.17555555555566</v>
      </c>
      <c r="E54" s="10">
        <f>B54/(1+$B$1)^$A54</f>
        <v>478.83126007342065</v>
      </c>
      <c r="F54" s="10">
        <f t="shared" si="20"/>
        <v>796.73662044519745</v>
      </c>
      <c r="G54" s="10">
        <f t="shared" si="24"/>
        <v>317.90536037177679</v>
      </c>
      <c r="H54" s="10"/>
      <c r="L54" s="10"/>
      <c r="M54" s="10"/>
      <c r="N54" s="10"/>
      <c r="O54" s="10"/>
      <c r="P54" s="10"/>
      <c r="Q54" s="10"/>
      <c r="R54" s="10"/>
    </row>
    <row r="55" spans="1:18" x14ac:dyDescent="0.25">
      <c r="A55" s="6">
        <v>10</v>
      </c>
      <c r="B55" s="10">
        <v>773.1708010335916</v>
      </c>
      <c r="C55" s="10">
        <f>Työkaluvälilehti!$B$12*(A55-A54)*Työkaluvälilehti!$B$7</f>
        <v>1236</v>
      </c>
      <c r="D55" s="10">
        <f>C55-B55</f>
        <v>462.8291989664084</v>
      </c>
      <c r="E55" s="10">
        <f>B55/(1+$B$1)^$A55</f>
        <v>474.65980200524729</v>
      </c>
      <c r="F55" s="10">
        <f>C55/(1+$B$1)^$A55</f>
        <v>758.79678137637848</v>
      </c>
      <c r="G55" s="10">
        <f>F55-E55</f>
        <v>284.13697937113119</v>
      </c>
      <c r="H55" s="10"/>
      <c r="L55" s="10"/>
      <c r="M55" s="10"/>
      <c r="N55" s="10"/>
      <c r="O55" s="10"/>
      <c r="P55" s="10"/>
      <c r="Q55" s="10"/>
      <c r="R55" s="10"/>
    </row>
    <row r="56" spans="1:18" x14ac:dyDescent="0.25">
      <c r="A56" s="6" t="s">
        <v>103</v>
      </c>
      <c r="B56" s="10" t="s">
        <v>107</v>
      </c>
      <c r="C56" s="10" t="s">
        <v>98</v>
      </c>
      <c r="D56" s="10" t="s">
        <v>99</v>
      </c>
      <c r="E56" s="10" t="s">
        <v>100</v>
      </c>
      <c r="F56" s="10" t="s">
        <v>101</v>
      </c>
      <c r="G56" s="10" t="s">
        <v>102</v>
      </c>
      <c r="H56" s="10" t="s">
        <v>83</v>
      </c>
      <c r="L56" s="10"/>
      <c r="M56" s="10"/>
      <c r="N56" s="10"/>
      <c r="O56" s="10"/>
      <c r="P56" s="10"/>
      <c r="Q56" s="10"/>
      <c r="R56" s="10"/>
    </row>
    <row r="57" spans="1:18" x14ac:dyDescent="0.25">
      <c r="B57" s="10">
        <f>SUM(B45:B55)</f>
        <v>8045.7862858820754</v>
      </c>
      <c r="C57" s="10">
        <f t="shared" ref="C57" si="25">SUM(C45:C55)</f>
        <v>11124</v>
      </c>
      <c r="D57" s="10">
        <f>SUM(D45:D55)</f>
        <v>3078.2137141179246</v>
      </c>
      <c r="E57" s="10">
        <f>SUM(E45:E55)</f>
        <v>6372.8549848562152</v>
      </c>
      <c r="F57" s="10">
        <f>SUM(F45:F55)</f>
        <v>8366.92151532957</v>
      </c>
      <c r="G57" s="10">
        <f>SUM(G45:G55)</f>
        <v>1994.0665304733554</v>
      </c>
      <c r="H57" s="10">
        <f>G57/(1-(1/(1+$B$1))^(A55))</f>
        <v>5164.8147696358919</v>
      </c>
      <c r="L57" s="10"/>
      <c r="M57" s="10"/>
      <c r="N57" s="10"/>
      <c r="O57" s="10"/>
      <c r="P57" s="10"/>
      <c r="Q57" s="10"/>
      <c r="R57" s="10"/>
    </row>
    <row r="58" spans="1:18" x14ac:dyDescent="0.25">
      <c r="B58" s="10" t="s">
        <v>104</v>
      </c>
      <c r="C58" s="10">
        <v>1641.4215478428662</v>
      </c>
      <c r="D58" s="10"/>
      <c r="E58" s="10"/>
      <c r="F58" s="10"/>
      <c r="G58" s="10"/>
      <c r="H58" s="10"/>
      <c r="L58" s="10"/>
      <c r="M58" s="10"/>
      <c r="N58" s="10"/>
      <c r="O58" s="10"/>
      <c r="P58" s="10"/>
      <c r="Q58" s="10"/>
      <c r="R58" s="10"/>
    </row>
    <row r="59" spans="1:18" x14ac:dyDescent="0.25">
      <c r="A59" s="1" t="s">
        <v>127</v>
      </c>
      <c r="B59" s="10"/>
      <c r="C59" s="10"/>
      <c r="D59" s="10"/>
      <c r="E59" s="10"/>
      <c r="F59" s="10"/>
      <c r="G59" s="10"/>
      <c r="H59" s="10"/>
      <c r="L59" s="10"/>
      <c r="M59" s="10"/>
      <c r="N59" s="10"/>
      <c r="O59" s="10"/>
      <c r="P59" s="10"/>
      <c r="Q59" s="10"/>
      <c r="R59" s="10"/>
    </row>
    <row r="60" spans="1:18" x14ac:dyDescent="0.25">
      <c r="A60" s="6" t="s">
        <v>78</v>
      </c>
      <c r="B60" s="10" t="s">
        <v>107</v>
      </c>
      <c r="C60" s="10" t="s">
        <v>98</v>
      </c>
      <c r="D60" s="10" t="s">
        <v>99</v>
      </c>
      <c r="E60" s="10" t="s">
        <v>100</v>
      </c>
      <c r="F60" s="10" t="s">
        <v>101</v>
      </c>
      <c r="G60" s="10" t="s">
        <v>102</v>
      </c>
      <c r="H60" s="10"/>
      <c r="L60" s="10"/>
      <c r="M60" s="10"/>
      <c r="N60" s="10"/>
      <c r="O60" s="10"/>
      <c r="P60" s="10"/>
      <c r="Q60" s="10"/>
      <c r="R60" s="10"/>
    </row>
    <row r="61" spans="1:18" x14ac:dyDescent="0.25">
      <c r="A61" s="6">
        <v>0</v>
      </c>
      <c r="B61" s="10">
        <v>1757.8130404040403</v>
      </c>
      <c r="C61" s="10">
        <v>0</v>
      </c>
      <c r="D61" s="10">
        <f>C61-B61</f>
        <v>-1757.8130404040403</v>
      </c>
      <c r="E61" s="10">
        <f>B61/(1+$B$1)^$A61</f>
        <v>1757.8130404040403</v>
      </c>
      <c r="F61" s="10">
        <f>C61/(1+$B$1)^$A61</f>
        <v>0</v>
      </c>
      <c r="G61" s="10">
        <f>F61-E61</f>
        <v>-1757.8130404040403</v>
      </c>
      <c r="H61" s="10"/>
      <c r="L61" s="10"/>
      <c r="M61" s="10"/>
      <c r="N61" s="10"/>
      <c r="O61" s="10"/>
      <c r="P61" s="10"/>
      <c r="Q61" s="10"/>
      <c r="R61" s="10"/>
    </row>
    <row r="62" spans="1:18" x14ac:dyDescent="0.25">
      <c r="A62" s="6">
        <v>1</v>
      </c>
      <c r="B62" s="10">
        <v>88.968222222222209</v>
      </c>
      <c r="C62" s="10">
        <v>0</v>
      </c>
      <c r="D62" s="10">
        <f>C62-B62</f>
        <v>-88.968222222222209</v>
      </c>
      <c r="E62" s="10">
        <f>B62/(1+$B$1)^$A62</f>
        <v>84.731640211640197</v>
      </c>
      <c r="F62" s="10">
        <f t="shared" ref="F62:F64" si="26">C62/(1+$B$1)^$A62</f>
        <v>0</v>
      </c>
      <c r="G62" s="10">
        <f>F62-E62</f>
        <v>-84.731640211640197</v>
      </c>
      <c r="H62" s="10"/>
      <c r="L62" s="10"/>
      <c r="M62" s="10"/>
      <c r="N62" s="10"/>
      <c r="O62" s="10"/>
      <c r="P62" s="10"/>
      <c r="Q62" s="10"/>
      <c r="R62" s="10"/>
    </row>
    <row r="63" spans="1:18" x14ac:dyDescent="0.25">
      <c r="A63" s="6">
        <v>2</v>
      </c>
      <c r="B63" s="10">
        <v>742.82444444444434</v>
      </c>
      <c r="C63" s="10">
        <f>Työkaluvälilehti!$B$12*(A63-A62)*Työkaluvälilehti!$B$7</f>
        <v>1236</v>
      </c>
      <c r="D63" s="10">
        <f t="shared" ref="D63:D64" si="27">C63-B63</f>
        <v>493.17555555555566</v>
      </c>
      <c r="E63" s="10">
        <f t="shared" ref="E63:F70" si="28">B63/(1+$B$1)^$A63</f>
        <v>673.76366843033497</v>
      </c>
      <c r="F63" s="10">
        <f t="shared" si="26"/>
        <v>1121.0884353741496</v>
      </c>
      <c r="G63" s="10">
        <f t="shared" ref="G63:G64" si="29">F63-E63</f>
        <v>447.32476694381467</v>
      </c>
      <c r="H63" s="10"/>
      <c r="L63" s="10"/>
      <c r="M63" s="10"/>
      <c r="N63" s="10"/>
      <c r="O63" s="10"/>
      <c r="P63" s="10"/>
      <c r="Q63" s="10"/>
      <c r="R63" s="10"/>
    </row>
    <row r="64" spans="1:18" x14ac:dyDescent="0.25">
      <c r="A64" s="6">
        <v>3</v>
      </c>
      <c r="B64" s="10">
        <v>742.82444444444434</v>
      </c>
      <c r="C64" s="10">
        <f>Työkaluvälilehti!$B$12*(A64-A63)*Työkaluvälilehti!$B$7</f>
        <v>1236</v>
      </c>
      <c r="D64" s="10">
        <f t="shared" si="27"/>
        <v>493.17555555555566</v>
      </c>
      <c r="E64" s="10">
        <f t="shared" si="28"/>
        <v>641.67968421936655</v>
      </c>
      <c r="F64" s="10">
        <f t="shared" si="26"/>
        <v>1067.7032717849042</v>
      </c>
      <c r="G64" s="10">
        <f t="shared" si="29"/>
        <v>426.0235875655377</v>
      </c>
      <c r="H64" s="10"/>
      <c r="L64" s="10"/>
      <c r="M64" s="10"/>
      <c r="N64" s="10"/>
      <c r="O64" s="10"/>
      <c r="P64" s="10"/>
      <c r="Q64" s="10"/>
      <c r="R64" s="10"/>
    </row>
    <row r="65" spans="1:18" x14ac:dyDescent="0.25">
      <c r="A65" s="6">
        <v>4</v>
      </c>
      <c r="B65" s="10">
        <v>742.82444444444434</v>
      </c>
      <c r="C65" s="10">
        <f>Työkaluvälilehti!$B$12*(A65-A64)*Työkaluvälilehti!$B$7</f>
        <v>1236</v>
      </c>
      <c r="D65" s="10">
        <f>C65-B65</f>
        <v>493.17555555555566</v>
      </c>
      <c r="E65" s="10">
        <f t="shared" si="28"/>
        <v>611.1235087803492</v>
      </c>
      <c r="F65" s="10">
        <f t="shared" si="28"/>
        <v>1016.8602588427661</v>
      </c>
      <c r="G65" s="10">
        <f>F65-E65</f>
        <v>405.73675006241695</v>
      </c>
      <c r="H65" s="10"/>
      <c r="L65" s="10"/>
      <c r="M65" s="10"/>
      <c r="N65" s="10"/>
      <c r="O65" s="10"/>
      <c r="P65" s="10"/>
      <c r="Q65" s="10"/>
      <c r="R65" s="10"/>
    </row>
    <row r="66" spans="1:18" x14ac:dyDescent="0.25">
      <c r="A66" s="6">
        <v>5</v>
      </c>
      <c r="B66" s="10">
        <v>1839.2540869156685</v>
      </c>
      <c r="C66" s="10">
        <f>Työkaluvälilehti!$B$12*(A66-A65)*Työkaluvälilehti!$B$7</f>
        <v>1236</v>
      </c>
      <c r="D66" s="10">
        <f>C66-B66</f>
        <v>-603.25408691566849</v>
      </c>
      <c r="E66" s="10">
        <f t="shared" si="28"/>
        <v>1441.1037038824795</v>
      </c>
      <c r="F66" s="10">
        <f t="shared" si="28"/>
        <v>968.43834175501524</v>
      </c>
      <c r="G66" s="10">
        <f>F66-E66</f>
        <v>-472.66536212746428</v>
      </c>
      <c r="H66" s="10"/>
      <c r="L66" s="10"/>
      <c r="M66" s="10"/>
      <c r="N66" s="10"/>
      <c r="O66" s="10"/>
      <c r="P66" s="10"/>
      <c r="Q66" s="10"/>
      <c r="R66" s="10"/>
    </row>
    <row r="67" spans="1:18" x14ac:dyDescent="0.25">
      <c r="A67" s="6">
        <v>6</v>
      </c>
      <c r="B67" s="10">
        <v>231.00444444444449</v>
      </c>
      <c r="C67" s="10">
        <v>0</v>
      </c>
      <c r="D67" s="10">
        <f>C67-B67</f>
        <v>-231.00444444444449</v>
      </c>
      <c r="E67" s="10">
        <f t="shared" si="28"/>
        <v>172.37907313593496</v>
      </c>
      <c r="F67" s="10">
        <f t="shared" si="28"/>
        <v>0</v>
      </c>
      <c r="G67" s="10">
        <f>F67-E67</f>
        <v>-172.37907313593496</v>
      </c>
      <c r="H67" s="10"/>
      <c r="L67" s="10"/>
      <c r="M67" s="10"/>
      <c r="N67" s="10"/>
      <c r="O67" s="10"/>
      <c r="P67" s="10"/>
      <c r="Q67" s="10"/>
      <c r="R67" s="10"/>
    </row>
    <row r="68" spans="1:18" x14ac:dyDescent="0.25">
      <c r="A68" s="6">
        <v>7</v>
      </c>
      <c r="B68" s="10">
        <v>742.82444444444434</v>
      </c>
      <c r="C68" s="10">
        <f>Työkaluvälilehti!$B$12*(A68-A67)*Työkaluvälilehti!$B$7</f>
        <v>1236</v>
      </c>
      <c r="D68" s="10">
        <f t="shared" ref="D68:D69" si="30">C68-B68</f>
        <v>493.17555555555566</v>
      </c>
      <c r="E68" s="10">
        <f>B68/(1+$B$1)^$A68</f>
        <v>527.91146423094619</v>
      </c>
      <c r="F68" s="10">
        <f t="shared" si="28"/>
        <v>878.40212404083013</v>
      </c>
      <c r="G68" s="10">
        <f>F68-E68</f>
        <v>350.49065980988394</v>
      </c>
      <c r="H68" s="10"/>
      <c r="L68" s="10"/>
      <c r="M68" s="10"/>
      <c r="N68" s="10"/>
      <c r="O68" s="10"/>
      <c r="P68" s="10"/>
      <c r="Q68" s="10"/>
      <c r="R68" s="10"/>
    </row>
    <row r="69" spans="1:18" x14ac:dyDescent="0.25">
      <c r="A69" s="6">
        <v>8</v>
      </c>
      <c r="B69" s="10">
        <v>742.82444444444434</v>
      </c>
      <c r="C69" s="10">
        <f>Työkaluvälilehti!$B$12*(A69-A68)*Työkaluvälilehti!$B$7</f>
        <v>1236</v>
      </c>
      <c r="D69" s="10">
        <f t="shared" si="30"/>
        <v>493.17555555555566</v>
      </c>
      <c r="E69" s="10">
        <f t="shared" ref="E69" si="31">B69/(1+$B$1)^$A69</f>
        <v>502.77282307709169</v>
      </c>
      <c r="F69" s="10">
        <f t="shared" si="28"/>
        <v>836.5734514674574</v>
      </c>
      <c r="G69" s="10">
        <f t="shared" ref="G69:G70" si="32">F69-E69</f>
        <v>333.80062839036572</v>
      </c>
      <c r="H69" s="10"/>
      <c r="L69" s="10"/>
      <c r="M69" s="10"/>
      <c r="N69" s="10"/>
      <c r="O69" s="10"/>
      <c r="P69" s="10"/>
      <c r="Q69" s="10"/>
      <c r="R69" s="10"/>
    </row>
    <row r="70" spans="1:18" x14ac:dyDescent="0.25">
      <c r="A70" s="6">
        <v>9</v>
      </c>
      <c r="B70" s="10">
        <v>742.82444444444434</v>
      </c>
      <c r="C70" s="10">
        <f>Työkaluvälilehti!$B$12*(A70-A69)*Työkaluvälilehti!$B$7</f>
        <v>1236</v>
      </c>
      <c r="D70" s="10">
        <f>C70-B70</f>
        <v>493.17555555555566</v>
      </c>
      <c r="E70" s="10">
        <f>B70/(1+$B$1)^$A70</f>
        <v>478.83126007342065</v>
      </c>
      <c r="F70" s="10">
        <f t="shared" si="28"/>
        <v>796.73662044519745</v>
      </c>
      <c r="G70" s="10">
        <f t="shared" si="32"/>
        <v>317.90536037177679</v>
      </c>
      <c r="H70" s="10"/>
      <c r="L70" s="10"/>
      <c r="M70" s="10"/>
      <c r="N70" s="10"/>
      <c r="O70" s="10"/>
      <c r="P70" s="10"/>
      <c r="Q70" s="10"/>
      <c r="R70" s="10"/>
    </row>
    <row r="71" spans="1:18" x14ac:dyDescent="0.25">
      <c r="A71" s="6">
        <v>10</v>
      </c>
      <c r="B71" s="10">
        <v>580.61937984496126</v>
      </c>
      <c r="C71" s="10">
        <f>Työkaluvälilehti!$B$12*(A71-A70)*Työkaluvälilehti!$B$7</f>
        <v>1236</v>
      </c>
      <c r="D71" s="10">
        <f>C71-B71</f>
        <v>655.38062015503874</v>
      </c>
      <c r="E71" s="10">
        <f>B71/(1+$B$1)^$A71</f>
        <v>356.44993254943813</v>
      </c>
      <c r="F71" s="10">
        <f>C71/(1+$B$1)^$A71</f>
        <v>758.79678137637848</v>
      </c>
      <c r="G71" s="10">
        <f>F71-E71</f>
        <v>402.34684882694035</v>
      </c>
      <c r="H71" s="10"/>
      <c r="L71" s="10"/>
      <c r="M71" s="10"/>
      <c r="N71" s="10"/>
      <c r="O71" s="10"/>
      <c r="P71" s="10"/>
      <c r="Q71" s="10"/>
      <c r="R71" s="10"/>
    </row>
    <row r="72" spans="1:18" x14ac:dyDescent="0.25">
      <c r="A72" s="6" t="s">
        <v>103</v>
      </c>
      <c r="B72" s="10" t="s">
        <v>107</v>
      </c>
      <c r="C72" s="10" t="s">
        <v>98</v>
      </c>
      <c r="D72" s="10" t="s">
        <v>99</v>
      </c>
      <c r="E72" s="10" t="s">
        <v>100</v>
      </c>
      <c r="F72" s="10" t="s">
        <v>101</v>
      </c>
      <c r="G72" s="10" t="s">
        <v>102</v>
      </c>
      <c r="H72" s="10" t="s">
        <v>83</v>
      </c>
      <c r="L72" s="10"/>
      <c r="M72" s="10"/>
      <c r="N72" s="10"/>
      <c r="O72" s="10"/>
      <c r="P72" s="10"/>
      <c r="Q72" s="10"/>
      <c r="R72" s="10"/>
    </row>
    <row r="73" spans="1:18" x14ac:dyDescent="0.25">
      <c r="B73" s="10">
        <f>SUM(B61:B71)</f>
        <v>8954.6058404980031</v>
      </c>
      <c r="C73" s="10">
        <f t="shared" ref="C73:G73" si="33">SUM(C61:C71)</f>
        <v>9888</v>
      </c>
      <c r="D73" s="10">
        <f t="shared" si="33"/>
        <v>933.39415950199702</v>
      </c>
      <c r="E73" s="10">
        <f t="shared" si="33"/>
        <v>7248.5597989950429</v>
      </c>
      <c r="F73" s="10">
        <f t="shared" si="33"/>
        <v>7444.5992850866987</v>
      </c>
      <c r="G73" s="10">
        <f t="shared" si="33"/>
        <v>196.03948609165633</v>
      </c>
      <c r="H73" s="10">
        <f>G73/(1-(1/(1+$B$1))^(A71))</f>
        <v>507.76020645492986</v>
      </c>
      <c r="L73" s="10"/>
      <c r="M73" s="10"/>
      <c r="N73" s="10"/>
      <c r="O73" s="10"/>
      <c r="P73" s="10"/>
      <c r="Q73" s="10"/>
      <c r="R73" s="10"/>
    </row>
    <row r="74" spans="1:18" x14ac:dyDescent="0.25">
      <c r="B74" s="10" t="s">
        <v>104</v>
      </c>
      <c r="C74" s="10">
        <v>1639.3209567206075</v>
      </c>
      <c r="D74" s="10"/>
      <c r="E74" s="10"/>
      <c r="F74" s="10"/>
      <c r="G74" s="10"/>
      <c r="H74" s="10"/>
      <c r="L74" s="10"/>
      <c r="M74" s="10"/>
      <c r="N74" s="10"/>
      <c r="O74" s="10"/>
      <c r="P74" s="10"/>
      <c r="Q74" s="10"/>
      <c r="R74" s="10"/>
    </row>
    <row r="75" spans="1:18" x14ac:dyDescent="0.25">
      <c r="A75" s="6" t="s">
        <v>72</v>
      </c>
      <c r="B75" s="10"/>
      <c r="C75" s="10"/>
      <c r="D75" s="10"/>
      <c r="E75" s="10"/>
      <c r="F75" s="10"/>
      <c r="G75" s="10"/>
      <c r="H75" s="10"/>
      <c r="L75" s="10"/>
      <c r="M75" s="10"/>
      <c r="N75" s="10"/>
      <c r="O75" s="10"/>
      <c r="P75" s="10"/>
      <c r="Q75" s="10"/>
      <c r="R75" s="10"/>
    </row>
    <row r="76" spans="1:18" x14ac:dyDescent="0.25">
      <c r="A76" s="6" t="s">
        <v>78</v>
      </c>
      <c r="B76" s="10" t="s">
        <v>107</v>
      </c>
      <c r="C76" s="10" t="s">
        <v>98</v>
      </c>
      <c r="D76" s="10" t="s">
        <v>99</v>
      </c>
      <c r="E76" s="10" t="s">
        <v>100</v>
      </c>
      <c r="F76" s="10" t="s">
        <v>101</v>
      </c>
      <c r="G76" s="10" t="s">
        <v>102</v>
      </c>
      <c r="H76" s="10"/>
      <c r="L76" s="10"/>
      <c r="M76" s="10"/>
      <c r="N76" s="10"/>
      <c r="O76" s="10"/>
      <c r="P76" s="10"/>
      <c r="Q76" s="10"/>
      <c r="R76" s="10"/>
    </row>
    <row r="77" spans="1:18" x14ac:dyDescent="0.25">
      <c r="A77" s="6">
        <v>0</v>
      </c>
      <c r="B77" s="10">
        <v>1241.0517070707067</v>
      </c>
      <c r="C77" s="10">
        <v>0</v>
      </c>
      <c r="D77" s="10">
        <f>C77-B77</f>
        <v>-1241.0517070707067</v>
      </c>
      <c r="E77" s="10">
        <f>B77/(1+$B$1)^$A77</f>
        <v>1241.0517070707067</v>
      </c>
      <c r="F77" s="10">
        <f>C77/(1+$B$1)^$A77</f>
        <v>0</v>
      </c>
      <c r="G77" s="10">
        <f>F77-E77</f>
        <v>-1241.0517070707067</v>
      </c>
      <c r="H77" s="10"/>
      <c r="L77" s="10"/>
      <c r="M77" s="10"/>
      <c r="N77" s="10"/>
      <c r="O77" s="10"/>
      <c r="P77" s="10"/>
      <c r="Q77" s="10"/>
      <c r="R77" s="10"/>
    </row>
    <row r="78" spans="1:18" x14ac:dyDescent="0.25">
      <c r="A78" s="6">
        <v>1</v>
      </c>
      <c r="B78" s="10">
        <v>655.17603864734315</v>
      </c>
      <c r="C78" s="10">
        <f>Työkaluvälilehti!$B$12*(A79-A78)*Työkaluvälilehti!$B$3</f>
        <v>960</v>
      </c>
      <c r="D78" s="10">
        <f>C78-B78</f>
        <v>304.82396135265685</v>
      </c>
      <c r="E78" s="10">
        <f>B78/(1+$B$1)^$A78</f>
        <v>623.97717966413632</v>
      </c>
      <c r="F78" s="10">
        <f t="shared" ref="F78:F80" si="34">C78/(1+$B$1)^$A78</f>
        <v>914.28571428571422</v>
      </c>
      <c r="G78" s="10">
        <f>F78-E78</f>
        <v>290.30853462157791</v>
      </c>
      <c r="H78" s="10"/>
      <c r="L78" s="10"/>
      <c r="M78" s="10"/>
      <c r="N78" s="10"/>
      <c r="O78" s="10"/>
      <c r="P78" s="10"/>
      <c r="Q78" s="10"/>
      <c r="R78" s="10"/>
    </row>
    <row r="79" spans="1:18" x14ac:dyDescent="0.25">
      <c r="A79" s="6">
        <v>2</v>
      </c>
      <c r="B79" s="10">
        <v>655.17603864734315</v>
      </c>
      <c r="C79" s="10">
        <f>Työkaluvälilehti!$B$12*(A79-A78)*Työkaluvälilehti!$B$3</f>
        <v>960</v>
      </c>
      <c r="D79" s="10">
        <f t="shared" ref="D79:D80" si="35">C79-B79</f>
        <v>304.82396135265685</v>
      </c>
      <c r="E79" s="10">
        <f t="shared" ref="E79:F86" si="36">B79/(1+$B$1)^$A79</f>
        <v>594.26398063251077</v>
      </c>
      <c r="F79" s="10">
        <f t="shared" si="34"/>
        <v>870.74829931972783</v>
      </c>
      <c r="G79" s="10">
        <f t="shared" ref="G79:G80" si="37">F79-E79</f>
        <v>276.48431868721707</v>
      </c>
      <c r="H79" s="10"/>
      <c r="L79" s="10"/>
      <c r="M79" s="10"/>
      <c r="N79" s="10"/>
      <c r="O79" s="10"/>
      <c r="P79" s="10"/>
      <c r="Q79" s="10"/>
      <c r="R79" s="10"/>
    </row>
    <row r="80" spans="1:18" x14ac:dyDescent="0.25">
      <c r="A80" s="6">
        <v>3</v>
      </c>
      <c r="B80" s="10">
        <v>655.17603864734315</v>
      </c>
      <c r="C80" s="10">
        <f>Työkaluvälilehti!$B$12*(A80-A79)*Työkaluvälilehti!$B$3</f>
        <v>960</v>
      </c>
      <c r="D80" s="10">
        <f t="shared" si="35"/>
        <v>304.82396135265685</v>
      </c>
      <c r="E80" s="10">
        <f t="shared" si="36"/>
        <v>565.96569584048643</v>
      </c>
      <c r="F80" s="10">
        <f t="shared" si="34"/>
        <v>829.28409459021691</v>
      </c>
      <c r="G80" s="10">
        <f t="shared" si="37"/>
        <v>263.31839874973048</v>
      </c>
      <c r="H80" s="10"/>
      <c r="L80" s="10"/>
      <c r="M80" s="10"/>
      <c r="N80" s="10"/>
      <c r="O80" s="10"/>
      <c r="P80" s="10"/>
      <c r="Q80" s="10"/>
      <c r="R80" s="10"/>
    </row>
    <row r="81" spans="1:18" x14ac:dyDescent="0.25">
      <c r="A81" s="6">
        <v>4</v>
      </c>
      <c r="B81" s="10">
        <v>655.17603864734315</v>
      </c>
      <c r="C81" s="10">
        <f>Työkaluvälilehti!$B$12*(A81-A80)*Työkaluvälilehti!$B$3</f>
        <v>960</v>
      </c>
      <c r="D81" s="10">
        <f>C81-B81</f>
        <v>304.82396135265685</v>
      </c>
      <c r="E81" s="10">
        <f t="shared" si="36"/>
        <v>539.01494841951092</v>
      </c>
      <c r="F81" s="10">
        <f t="shared" si="36"/>
        <v>789.79437580020669</v>
      </c>
      <c r="G81" s="10">
        <f>F81-E81</f>
        <v>250.77942738069578</v>
      </c>
      <c r="H81" s="10"/>
      <c r="L81" s="10"/>
      <c r="M81" s="10"/>
      <c r="N81" s="10"/>
      <c r="O81" s="10"/>
      <c r="P81" s="10"/>
      <c r="Q81" s="10"/>
      <c r="R81" s="10"/>
    </row>
    <row r="82" spans="1:18" x14ac:dyDescent="0.25">
      <c r="A82" s="6">
        <v>5</v>
      </c>
      <c r="B82" s="10">
        <v>655.17603864734315</v>
      </c>
      <c r="C82" s="10">
        <f>Työkaluvälilehti!$B$12*(A82-A81)*Työkaluvälilehti!$B$3</f>
        <v>960</v>
      </c>
      <c r="D82" s="10">
        <f>C82-B82</f>
        <v>304.82396135265685</v>
      </c>
      <c r="E82" s="10">
        <f t="shared" si="36"/>
        <v>513.34756992334371</v>
      </c>
      <c r="F82" s="10">
        <f t="shared" si="36"/>
        <v>752.18511980972062</v>
      </c>
      <c r="G82" s="10">
        <f>F82-E82</f>
        <v>238.83754988637691</v>
      </c>
      <c r="H82" s="10"/>
      <c r="L82" s="10"/>
      <c r="M82" s="10"/>
      <c r="N82" s="10"/>
      <c r="O82" s="10"/>
      <c r="P82" s="10"/>
      <c r="Q82" s="10"/>
      <c r="R82" s="10"/>
    </row>
    <row r="83" spans="1:18" x14ac:dyDescent="0.25">
      <c r="A83" s="6">
        <v>6</v>
      </c>
      <c r="B83" s="10">
        <v>655.17603864734315</v>
      </c>
      <c r="C83" s="10">
        <f>Työkaluvälilehti!$B$12*(A83-A82)*Työkaluvälilehti!$B$3</f>
        <v>960</v>
      </c>
      <c r="D83" s="10">
        <f>C83-B83</f>
        <v>304.82396135265685</v>
      </c>
      <c r="E83" s="10">
        <f t="shared" si="36"/>
        <v>488.90244754604169</v>
      </c>
      <c r="F83" s="10">
        <f t="shared" si="36"/>
        <v>716.36678077116255</v>
      </c>
      <c r="G83" s="10">
        <f>F83-E83</f>
        <v>227.46433322512087</v>
      </c>
      <c r="H83" s="10"/>
      <c r="L83" s="10"/>
      <c r="M83" s="10"/>
      <c r="N83" s="10"/>
      <c r="O83" s="10"/>
      <c r="P83" s="10"/>
      <c r="Q83" s="10"/>
      <c r="R83" s="10"/>
    </row>
    <row r="84" spans="1:18" x14ac:dyDescent="0.25">
      <c r="A84" s="6">
        <v>7</v>
      </c>
      <c r="B84" s="10">
        <v>655.17603864734315</v>
      </c>
      <c r="C84" s="10">
        <f>Työkaluvälilehti!$B$12*(A84-A83)*Työkaluvälilehti!$B$3</f>
        <v>960</v>
      </c>
      <c r="D84" s="10">
        <f t="shared" ref="D84:D85" si="38">C84-B84</f>
        <v>304.82396135265685</v>
      </c>
      <c r="E84" s="10">
        <f>B84/(1+$B$1)^$A84</f>
        <v>465.62137861527771</v>
      </c>
      <c r="F84" s="10">
        <f t="shared" si="36"/>
        <v>682.2540769249166</v>
      </c>
      <c r="G84" s="10">
        <f>F84-E84</f>
        <v>216.6326983096389</v>
      </c>
      <c r="H84" s="10"/>
      <c r="L84" s="10"/>
      <c r="M84" s="10"/>
      <c r="N84" s="10"/>
      <c r="O84" s="10"/>
      <c r="P84" s="10"/>
      <c r="Q84" s="10"/>
      <c r="R84" s="10"/>
    </row>
    <row r="85" spans="1:18" x14ac:dyDescent="0.25">
      <c r="A85" s="6">
        <v>8</v>
      </c>
      <c r="B85" s="10">
        <v>655.17603864734315</v>
      </c>
      <c r="C85" s="10">
        <f>Työkaluvälilehti!$B$12*(A85-A84)*Työkaluvälilehti!$B$3</f>
        <v>960</v>
      </c>
      <c r="D85" s="10">
        <f t="shared" si="38"/>
        <v>304.82396135265685</v>
      </c>
      <c r="E85" s="10">
        <f t="shared" ref="E85" si="39">B85/(1+$B$1)^$A85</f>
        <v>443.44893201455022</v>
      </c>
      <c r="F85" s="10">
        <f t="shared" si="36"/>
        <v>649.76578754753973</v>
      </c>
      <c r="G85" s="10">
        <f t="shared" ref="G85:G86" si="40">F85-E85</f>
        <v>206.31685553298951</v>
      </c>
      <c r="H85" s="10"/>
      <c r="L85" s="10"/>
      <c r="M85" s="10"/>
      <c r="N85" s="10"/>
      <c r="O85" s="10"/>
      <c r="P85" s="10"/>
      <c r="Q85" s="10"/>
      <c r="R85" s="10"/>
    </row>
    <row r="86" spans="1:18" x14ac:dyDescent="0.25">
      <c r="A86" s="6">
        <v>9</v>
      </c>
      <c r="B86" s="10">
        <v>655.17603864734315</v>
      </c>
      <c r="C86" s="10">
        <f>Työkaluvälilehti!$B$12*(A86-A85)*Työkaluvälilehti!$B$3</f>
        <v>960</v>
      </c>
      <c r="D86" s="10">
        <f>C86-B86</f>
        <v>304.82396135265685</v>
      </c>
      <c r="E86" s="10">
        <f>B86/(1+$B$1)^$A86</f>
        <v>422.33231620433355</v>
      </c>
      <c r="F86" s="10">
        <f t="shared" si="36"/>
        <v>618.82455956908541</v>
      </c>
      <c r="G86" s="10">
        <f t="shared" si="40"/>
        <v>196.49224336475186</v>
      </c>
      <c r="H86" s="10"/>
      <c r="L86" s="10"/>
      <c r="M86" s="10"/>
      <c r="N86" s="10"/>
      <c r="O86" s="10"/>
      <c r="P86" s="10"/>
      <c r="Q86" s="10"/>
      <c r="R86" s="10"/>
    </row>
    <row r="87" spans="1:18" x14ac:dyDescent="0.25">
      <c r="A87" s="6">
        <v>10</v>
      </c>
      <c r="B87" s="10">
        <v>685.52239523649041</v>
      </c>
      <c r="C87" s="10">
        <f>Työkaluvälilehti!$B$12*(A87-A86)*Työkaluvälilehti!$B$3</f>
        <v>960</v>
      </c>
      <c r="D87" s="10">
        <f>C87-B87</f>
        <v>274.47760476350959</v>
      </c>
      <c r="E87" s="10">
        <f>B87/(1+$B$1)^$A87</f>
        <v>420.85128403468815</v>
      </c>
      <c r="F87" s="10">
        <f>C87/(1+$B$1)^$A87</f>
        <v>589.3567233991289</v>
      </c>
      <c r="G87" s="10">
        <f>F87-E87</f>
        <v>168.50543936444075</v>
      </c>
      <c r="H87" s="10"/>
      <c r="L87" s="10"/>
      <c r="M87" s="10"/>
      <c r="N87" s="10"/>
      <c r="O87" s="10"/>
      <c r="P87" s="10"/>
      <c r="Q87" s="10"/>
      <c r="R87" s="10"/>
    </row>
    <row r="88" spans="1:18" x14ac:dyDescent="0.25">
      <c r="A88" s="6" t="s">
        <v>103</v>
      </c>
      <c r="B88" s="10" t="s">
        <v>107</v>
      </c>
      <c r="C88" s="10" t="s">
        <v>98</v>
      </c>
      <c r="D88" s="10" t="s">
        <v>99</v>
      </c>
      <c r="E88" s="10" t="s">
        <v>100</v>
      </c>
      <c r="F88" s="10" t="s">
        <v>101</v>
      </c>
      <c r="G88" s="10" t="s">
        <v>102</v>
      </c>
      <c r="H88" s="10" t="s">
        <v>83</v>
      </c>
      <c r="L88" s="10"/>
      <c r="M88" s="10"/>
      <c r="N88" s="10"/>
      <c r="O88" s="10"/>
      <c r="P88" s="10"/>
      <c r="Q88" s="10"/>
      <c r="R88" s="10"/>
    </row>
    <row r="89" spans="1:18" x14ac:dyDescent="0.25">
      <c r="B89" s="10">
        <f>SUM(B77:B87)</f>
        <v>7823.1584501332873</v>
      </c>
      <c r="C89" s="10">
        <f t="shared" ref="C89:G89" si="41">SUM(C77:C87)</f>
        <v>9600</v>
      </c>
      <c r="D89" s="10">
        <f>SUM(D77:D87)</f>
        <v>1776.8415498667146</v>
      </c>
      <c r="E89" s="10">
        <f t="shared" si="41"/>
        <v>6318.7774399655864</v>
      </c>
      <c r="F89" s="10">
        <f t="shared" si="41"/>
        <v>7412.8655320174184</v>
      </c>
      <c r="G89" s="10">
        <f t="shared" si="41"/>
        <v>1094.0880920518334</v>
      </c>
      <c r="H89" s="10">
        <f>G89/(1-(1/(1+$B$1))^(A87))</f>
        <v>2833.788266718801</v>
      </c>
      <c r="L89" s="10"/>
      <c r="M89" s="10"/>
      <c r="N89" s="10"/>
      <c r="O89" s="10"/>
      <c r="P89" s="10"/>
      <c r="Q89" s="10"/>
      <c r="R89" s="10"/>
    </row>
    <row r="90" spans="1:18" x14ac:dyDescent="0.25">
      <c r="B90" s="10" t="s">
        <v>104</v>
      </c>
      <c r="C90" s="10">
        <v>1610.3158450133287</v>
      </c>
      <c r="D90" s="10"/>
      <c r="E90" s="10"/>
      <c r="F90" s="10"/>
      <c r="G90" s="10"/>
      <c r="H90" s="10"/>
      <c r="L90" s="10"/>
      <c r="M90" s="10"/>
      <c r="N90" s="10"/>
      <c r="O90" s="10"/>
      <c r="P90" s="10"/>
      <c r="Q90" s="10"/>
      <c r="R90" s="10"/>
    </row>
    <row r="91" spans="1:18" x14ac:dyDescent="0.25">
      <c r="A91" s="6" t="s">
        <v>74</v>
      </c>
      <c r="B91" s="10"/>
      <c r="C91" s="10"/>
      <c r="D91" s="10"/>
      <c r="E91" s="10"/>
      <c r="F91" s="10"/>
      <c r="G91" s="10"/>
      <c r="H91" s="10"/>
      <c r="L91" s="10"/>
      <c r="M91" s="10"/>
      <c r="N91" s="10"/>
      <c r="O91" s="10"/>
      <c r="P91" s="10"/>
      <c r="Q91" s="10"/>
      <c r="R91" s="10"/>
    </row>
    <row r="92" spans="1:18" x14ac:dyDescent="0.25">
      <c r="A92" s="6" t="s">
        <v>78</v>
      </c>
      <c r="B92" s="10" t="s">
        <v>107</v>
      </c>
      <c r="C92" s="10" t="s">
        <v>98</v>
      </c>
      <c r="D92" s="10" t="s">
        <v>99</v>
      </c>
      <c r="E92" s="10" t="s">
        <v>100</v>
      </c>
      <c r="F92" s="10" t="s">
        <v>101</v>
      </c>
      <c r="G92" s="10" t="s">
        <v>102</v>
      </c>
      <c r="H92" s="10"/>
      <c r="L92" s="10"/>
      <c r="M92" s="10"/>
      <c r="N92" s="10"/>
      <c r="O92" s="10"/>
      <c r="P92" s="10"/>
      <c r="Q92" s="10"/>
      <c r="R92" s="10"/>
    </row>
    <row r="93" spans="1:18" x14ac:dyDescent="0.25">
      <c r="A93" s="6">
        <v>0</v>
      </c>
      <c r="B93" s="10">
        <v>1241.0517070707067</v>
      </c>
      <c r="C93" s="10">
        <v>0</v>
      </c>
      <c r="D93" s="10">
        <f>C93-B93</f>
        <v>-1241.0517070707067</v>
      </c>
      <c r="E93" s="10">
        <f>B93/(1+$B$1)^$A93</f>
        <v>1241.0517070707067</v>
      </c>
      <c r="F93" s="10">
        <f>C93/(1+$B$1)^$A93</f>
        <v>0</v>
      </c>
      <c r="G93" s="10">
        <f>F93-E93</f>
        <v>-1241.0517070707067</v>
      </c>
      <c r="H93" s="10"/>
      <c r="L93" s="10"/>
      <c r="M93" s="10"/>
      <c r="N93" s="10"/>
      <c r="O93" s="10"/>
      <c r="P93" s="10"/>
      <c r="Q93" s="10"/>
      <c r="R93" s="10"/>
    </row>
    <row r="94" spans="1:18" x14ac:dyDescent="0.25">
      <c r="A94" s="6">
        <v>1</v>
      </c>
      <c r="B94" s="10">
        <v>88.968222222222209</v>
      </c>
      <c r="C94" s="10">
        <v>0</v>
      </c>
      <c r="D94" s="10">
        <f>C94-B94</f>
        <v>-88.968222222222209</v>
      </c>
      <c r="E94" s="10">
        <f>B94/(1+$B$1)^$A94</f>
        <v>84.731640211640197</v>
      </c>
      <c r="F94" s="10">
        <f t="shared" ref="F94:F96" si="42">C94/(1+$B$1)^$A94</f>
        <v>0</v>
      </c>
      <c r="G94" s="10">
        <f>F94-E94</f>
        <v>-84.731640211640197</v>
      </c>
      <c r="H94" s="10"/>
      <c r="L94" s="10"/>
      <c r="M94" s="10"/>
      <c r="N94" s="10"/>
      <c r="O94" s="10"/>
      <c r="P94" s="10"/>
      <c r="Q94" s="10"/>
      <c r="R94" s="10"/>
    </row>
    <row r="95" spans="1:18" x14ac:dyDescent="0.25">
      <c r="A95" s="6">
        <v>2</v>
      </c>
      <c r="B95" s="10">
        <v>976.66324361628699</v>
      </c>
      <c r="C95" s="10">
        <f>Työkaluvälilehti!$B$12*(A95-A94)*Työkaluvälilehti!$B$4</f>
        <v>1200</v>
      </c>
      <c r="D95" s="10">
        <f t="shared" ref="D95:D96" si="43">C95-B95</f>
        <v>223.33675638371301</v>
      </c>
      <c r="E95" s="10">
        <f t="shared" ref="E95:F102" si="44">B95/(1+$B$1)^$A95</f>
        <v>885.86235248642811</v>
      </c>
      <c r="F95" s="10">
        <f t="shared" si="42"/>
        <v>1088.4353741496598</v>
      </c>
      <c r="G95" s="10">
        <f t="shared" ref="G95:G96" si="45">F95-E95</f>
        <v>202.57302166323166</v>
      </c>
      <c r="H95" s="10"/>
      <c r="L95" s="10"/>
      <c r="M95" s="10"/>
      <c r="N95" s="10"/>
      <c r="O95" s="10"/>
      <c r="P95" s="10"/>
      <c r="Q95" s="10"/>
      <c r="R95" s="10"/>
    </row>
    <row r="96" spans="1:18" x14ac:dyDescent="0.25">
      <c r="A96" s="6">
        <v>3</v>
      </c>
      <c r="B96" s="10">
        <v>976.66324361628699</v>
      </c>
      <c r="C96" s="10">
        <f>Työkaluvälilehti!$B$12*(A96-A95)*Työkaluvälilehti!$B$4</f>
        <v>1200</v>
      </c>
      <c r="D96" s="10">
        <f t="shared" si="43"/>
        <v>223.33675638371301</v>
      </c>
      <c r="E96" s="10">
        <f t="shared" si="44"/>
        <v>843.67843093945521</v>
      </c>
      <c r="F96" s="10">
        <f t="shared" si="42"/>
        <v>1036.6051182377712</v>
      </c>
      <c r="G96" s="10">
        <f t="shared" si="45"/>
        <v>192.92668729831598</v>
      </c>
      <c r="H96" s="10"/>
      <c r="L96" s="10"/>
      <c r="M96" s="10"/>
      <c r="N96" s="10"/>
      <c r="O96" s="10"/>
      <c r="P96" s="10"/>
      <c r="Q96" s="10"/>
      <c r="R96" s="10"/>
    </row>
    <row r="97" spans="1:18" x14ac:dyDescent="0.25">
      <c r="A97" s="6">
        <v>4</v>
      </c>
      <c r="B97" s="10">
        <v>976.66324361628699</v>
      </c>
      <c r="C97" s="10">
        <f>Työkaluvälilehti!$B$12*(A97-A96)*Työkaluvälilehti!$B$4</f>
        <v>1200</v>
      </c>
      <c r="D97" s="10">
        <f>C97-B97</f>
        <v>223.33675638371301</v>
      </c>
      <c r="E97" s="10">
        <f t="shared" si="44"/>
        <v>803.503267561386</v>
      </c>
      <c r="F97" s="10">
        <f t="shared" si="44"/>
        <v>987.24296975025834</v>
      </c>
      <c r="G97" s="10">
        <f>F97-E97</f>
        <v>183.73970218887234</v>
      </c>
      <c r="H97" s="10"/>
      <c r="L97" s="10"/>
      <c r="M97" s="10"/>
      <c r="N97" s="10"/>
      <c r="O97" s="10"/>
      <c r="P97" s="10"/>
      <c r="Q97" s="10"/>
      <c r="R97" s="10"/>
    </row>
    <row r="98" spans="1:18" x14ac:dyDescent="0.25">
      <c r="A98" s="6">
        <v>5</v>
      </c>
      <c r="B98" s="10">
        <v>976.66324361628699</v>
      </c>
      <c r="C98" s="10">
        <f>Työkaluvälilehti!$B$12*(A98-A97)*Työkaluvälilehti!$B$4</f>
        <v>1200</v>
      </c>
      <c r="D98" s="10">
        <f>C98-B98</f>
        <v>223.33675638371301</v>
      </c>
      <c r="E98" s="10">
        <f t="shared" si="44"/>
        <v>765.24120720131998</v>
      </c>
      <c r="F98" s="10">
        <f t="shared" si="44"/>
        <v>940.23139976215077</v>
      </c>
      <c r="G98" s="10">
        <f>F98-E98</f>
        <v>174.99019256083079</v>
      </c>
      <c r="H98" s="10"/>
      <c r="L98" s="10"/>
      <c r="M98" s="10"/>
      <c r="N98" s="10"/>
      <c r="O98" s="10"/>
      <c r="P98" s="10"/>
      <c r="Q98" s="10"/>
      <c r="R98" s="10"/>
    </row>
    <row r="99" spans="1:18" x14ac:dyDescent="0.25">
      <c r="A99" s="6">
        <v>6</v>
      </c>
      <c r="B99" s="10">
        <v>976.66324361628699</v>
      </c>
      <c r="C99" s="10">
        <f>Työkaluvälilehti!$B$12*(A99-A98)*Työkaluvälilehti!$B$4</f>
        <v>1200</v>
      </c>
      <c r="D99" s="10">
        <f>C99-B99</f>
        <v>223.33675638371301</v>
      </c>
      <c r="E99" s="10">
        <f t="shared" si="44"/>
        <v>728.80114971554292</v>
      </c>
      <c r="F99" s="10">
        <f t="shared" si="44"/>
        <v>895.45847596395322</v>
      </c>
      <c r="G99" s="10">
        <f>F99-E99</f>
        <v>166.6573262484103</v>
      </c>
      <c r="H99" s="10"/>
      <c r="L99" s="10"/>
      <c r="M99" s="10"/>
      <c r="N99" s="10"/>
      <c r="O99" s="10"/>
      <c r="P99" s="10"/>
      <c r="Q99" s="10"/>
      <c r="R99" s="10"/>
    </row>
    <row r="100" spans="1:18" x14ac:dyDescent="0.25">
      <c r="A100" s="6">
        <v>7</v>
      </c>
      <c r="B100" s="10">
        <v>976.66324361628699</v>
      </c>
      <c r="C100" s="10">
        <f>Työkaluvälilehti!$B$12*(A100-A99)*Työkaluvälilehti!$B$4</f>
        <v>1200</v>
      </c>
      <c r="D100" s="10">
        <f t="shared" ref="D100:D101" si="46">C100-B100</f>
        <v>223.33675638371301</v>
      </c>
      <c r="E100" s="10">
        <f>B100/(1+$B$1)^$A100</f>
        <v>694.09633306242165</v>
      </c>
      <c r="F100" s="10">
        <f t="shared" si="44"/>
        <v>852.81759615614578</v>
      </c>
      <c r="G100" s="10">
        <f>F100-E100</f>
        <v>158.72126309372413</v>
      </c>
      <c r="H100" s="10"/>
      <c r="L100" s="10"/>
      <c r="M100" s="10"/>
      <c r="N100" s="10"/>
      <c r="O100" s="10"/>
      <c r="P100" s="10"/>
      <c r="Q100" s="10"/>
      <c r="R100" s="10"/>
    </row>
    <row r="101" spans="1:18" x14ac:dyDescent="0.25">
      <c r="A101" s="6">
        <v>8</v>
      </c>
      <c r="B101" s="10">
        <v>976.66324361628699</v>
      </c>
      <c r="C101" s="10">
        <f>Työkaluvälilehti!$B$12*(A101-A100)*Työkaluvälilehti!$B$4</f>
        <v>1200</v>
      </c>
      <c r="D101" s="10">
        <f t="shared" si="46"/>
        <v>223.33675638371301</v>
      </c>
      <c r="E101" s="10">
        <f t="shared" ref="E101" si="47">B101/(1+$B$1)^$A101</f>
        <v>661.04412672611602</v>
      </c>
      <c r="F101" s="10">
        <f t="shared" si="44"/>
        <v>812.20723443442466</v>
      </c>
      <c r="G101" s="10">
        <f t="shared" ref="G101:G102" si="48">F101-E101</f>
        <v>151.16310770830864</v>
      </c>
      <c r="H101" s="10"/>
      <c r="L101" s="10"/>
      <c r="M101" s="10"/>
      <c r="N101" s="10"/>
      <c r="O101" s="10"/>
      <c r="P101" s="10"/>
      <c r="Q101" s="10"/>
      <c r="R101" s="10"/>
    </row>
    <row r="102" spans="1:18" x14ac:dyDescent="0.25">
      <c r="A102" s="6">
        <v>9</v>
      </c>
      <c r="B102" s="10">
        <v>976.66324361628699</v>
      </c>
      <c r="C102" s="10">
        <f>Työkaluvälilehti!$B$12*(A102-A101)*Työkaluvälilehti!$B$4</f>
        <v>1200</v>
      </c>
      <c r="D102" s="10">
        <f>C102-B102</f>
        <v>223.33675638371301</v>
      </c>
      <c r="E102" s="10">
        <f>B102/(1+$B$1)^$A102</f>
        <v>629.5658349772533</v>
      </c>
      <c r="F102" s="10">
        <f t="shared" si="44"/>
        <v>773.53069946135679</v>
      </c>
      <c r="G102" s="10">
        <f t="shared" si="48"/>
        <v>143.96486448410349</v>
      </c>
      <c r="H102" s="10"/>
      <c r="L102" s="10"/>
      <c r="M102" s="10"/>
      <c r="N102" s="10"/>
      <c r="O102" s="10"/>
      <c r="P102" s="10"/>
      <c r="Q102" s="10"/>
      <c r="R102" s="10"/>
    </row>
    <row r="103" spans="1:18" x14ac:dyDescent="0.25">
      <c r="A103" s="6">
        <v>10</v>
      </c>
      <c r="B103" s="10">
        <v>1007.0096002054343</v>
      </c>
      <c r="C103" s="10">
        <f>Työkaluvälilehti!$B$12*(A103-A102)*Työkaluvälilehti!$B$4</f>
        <v>1200</v>
      </c>
      <c r="D103" s="10">
        <f>C103-B103</f>
        <v>192.99039979456575</v>
      </c>
      <c r="E103" s="10">
        <f>B103/(1+$B$1)^$A103</f>
        <v>618.21654000889748</v>
      </c>
      <c r="F103" s="10">
        <f>C103/(1+$B$1)^$A103</f>
        <v>736.69590424891112</v>
      </c>
      <c r="G103" s="10">
        <f>F103-E103</f>
        <v>118.47936424001364</v>
      </c>
      <c r="H103" s="10"/>
      <c r="L103" s="10"/>
      <c r="M103" s="10"/>
      <c r="N103" s="10"/>
      <c r="O103" s="10"/>
      <c r="P103" s="10"/>
      <c r="Q103" s="10"/>
      <c r="R103" s="10"/>
    </row>
    <row r="104" spans="1:18" x14ac:dyDescent="0.25">
      <c r="A104" s="6" t="s">
        <v>103</v>
      </c>
      <c r="B104" s="10" t="s">
        <v>107</v>
      </c>
      <c r="C104" s="10" t="s">
        <v>98</v>
      </c>
      <c r="D104" s="10" t="s">
        <v>99</v>
      </c>
      <c r="E104" s="10" t="s">
        <v>100</v>
      </c>
      <c r="F104" s="10" t="s">
        <v>101</v>
      </c>
      <c r="G104" s="10" t="s">
        <v>102</v>
      </c>
      <c r="H104" s="10" t="s">
        <v>83</v>
      </c>
      <c r="L104" s="10"/>
      <c r="M104" s="10"/>
      <c r="N104" s="10"/>
      <c r="O104" s="10"/>
      <c r="P104" s="10"/>
      <c r="Q104" s="10"/>
      <c r="R104" s="10"/>
    </row>
    <row r="105" spans="1:18" x14ac:dyDescent="0.25">
      <c r="B105" s="10">
        <f>SUM(B93:B103)</f>
        <v>10150.33547842866</v>
      </c>
      <c r="C105" s="10">
        <f t="shared" ref="C105:G105" si="49">SUM(C93:C103)</f>
        <v>10800</v>
      </c>
      <c r="D105" s="10">
        <f t="shared" si="49"/>
        <v>649.66452157134086</v>
      </c>
      <c r="E105" s="10">
        <f t="shared" si="49"/>
        <v>7955.7925899611673</v>
      </c>
      <c r="F105" s="10">
        <f t="shared" si="49"/>
        <v>8123.2247721646308</v>
      </c>
      <c r="G105" s="10">
        <f t="shared" si="49"/>
        <v>167.43218220346398</v>
      </c>
      <c r="H105" s="10">
        <f>G105/(1-(1/(1+$B$1))^(A103))</f>
        <v>433.66467183596978</v>
      </c>
      <c r="L105" s="10"/>
      <c r="M105" s="10"/>
      <c r="N105" s="10"/>
      <c r="O105" s="10"/>
      <c r="P105" s="10"/>
      <c r="Q105" s="10"/>
      <c r="R105" s="10"/>
    </row>
    <row r="106" spans="1:18" x14ac:dyDescent="0.25">
      <c r="B106" s="10" t="s">
        <v>104</v>
      </c>
      <c r="C106" s="10">
        <v>1843.033547842866</v>
      </c>
      <c r="D106" s="10"/>
      <c r="E106" s="10"/>
      <c r="F106" s="10"/>
      <c r="G106" s="10"/>
      <c r="H106" s="10"/>
      <c r="L106" s="10"/>
      <c r="M106" s="10"/>
      <c r="N106" s="10"/>
      <c r="O106" s="10"/>
      <c r="P106" s="10"/>
      <c r="Q106" s="10"/>
      <c r="R106" s="10"/>
    </row>
    <row r="107" spans="1:18" x14ac:dyDescent="0.25">
      <c r="A107" s="6" t="s">
        <v>77</v>
      </c>
      <c r="B107" s="10"/>
      <c r="C107" s="10"/>
      <c r="D107" s="10"/>
      <c r="E107" s="10"/>
      <c r="F107" s="10"/>
      <c r="G107" s="10"/>
      <c r="H107" s="10"/>
      <c r="L107" s="10"/>
      <c r="M107" s="10"/>
      <c r="N107" s="10"/>
      <c r="O107" s="10"/>
      <c r="P107" s="10"/>
      <c r="Q107" s="10"/>
      <c r="R107" s="10"/>
    </row>
    <row r="108" spans="1:18" x14ac:dyDescent="0.25">
      <c r="A108" s="6" t="s">
        <v>78</v>
      </c>
      <c r="B108" s="10" t="s">
        <v>107</v>
      </c>
      <c r="C108" s="10" t="s">
        <v>98</v>
      </c>
      <c r="D108" s="10" t="s">
        <v>99</v>
      </c>
      <c r="E108" s="10" t="s">
        <v>100</v>
      </c>
      <c r="F108" s="10" t="s">
        <v>101</v>
      </c>
      <c r="G108" s="10" t="s">
        <v>102</v>
      </c>
      <c r="H108" s="10"/>
      <c r="L108" s="10"/>
      <c r="M108" s="10"/>
      <c r="N108" s="10"/>
      <c r="O108" s="10"/>
      <c r="P108" s="10"/>
      <c r="Q108" s="10"/>
      <c r="R108" s="10"/>
    </row>
    <row r="109" spans="1:18" x14ac:dyDescent="0.25">
      <c r="A109" s="6">
        <v>0</v>
      </c>
      <c r="B109" s="10">
        <v>1241.0517070707067</v>
      </c>
      <c r="C109" s="10">
        <v>0</v>
      </c>
      <c r="D109" s="10">
        <f>C109-B109</f>
        <v>-1241.0517070707067</v>
      </c>
      <c r="E109" s="10">
        <f>B109/(1+$B$1)^$A109</f>
        <v>1241.0517070707067</v>
      </c>
      <c r="F109" s="10">
        <f>C109/(1+$B$1)^$A109</f>
        <v>0</v>
      </c>
      <c r="G109" s="10">
        <f>F109-E109</f>
        <v>-1241.0517070707067</v>
      </c>
      <c r="H109" s="10"/>
      <c r="L109" s="10"/>
      <c r="M109" s="10"/>
      <c r="N109" s="10"/>
      <c r="O109" s="10"/>
      <c r="P109" s="10"/>
      <c r="Q109" s="10"/>
      <c r="R109" s="10"/>
    </row>
    <row r="110" spans="1:18" x14ac:dyDescent="0.25">
      <c r="A110" s="6">
        <v>1</v>
      </c>
      <c r="B110" s="10">
        <v>88.968222222222209</v>
      </c>
      <c r="C110" s="10">
        <v>0</v>
      </c>
      <c r="D110" s="10">
        <f>C110-B110</f>
        <v>-88.968222222222209</v>
      </c>
      <c r="E110" s="10">
        <f>B110/(1+$B$1)^$A110</f>
        <v>84.731640211640197</v>
      </c>
      <c r="F110" s="10">
        <f t="shared" ref="F110:F112" si="50">C110/(1+$B$1)^$A110</f>
        <v>0</v>
      </c>
      <c r="G110" s="10">
        <f>F110-E110</f>
        <v>-84.731640211640197</v>
      </c>
      <c r="H110" s="10"/>
      <c r="L110" s="10"/>
      <c r="M110" s="10"/>
      <c r="N110" s="10"/>
      <c r="O110" s="10"/>
      <c r="P110" s="10"/>
      <c r="Q110" s="10"/>
      <c r="R110" s="10"/>
    </row>
    <row r="111" spans="1:18" x14ac:dyDescent="0.25">
      <c r="A111" s="6">
        <v>2</v>
      </c>
      <c r="B111" s="10">
        <v>978.55909313833445</v>
      </c>
      <c r="C111" s="10">
        <f>Työkaluvälilehti!$B$12*(A111-A110)*Työkaluvälilehti!$B$5</f>
        <v>960</v>
      </c>
      <c r="D111" s="10">
        <f t="shared" ref="D111:D112" si="51">C111-B111</f>
        <v>-18.559093138334447</v>
      </c>
      <c r="E111" s="10">
        <f t="shared" ref="E111:F118" si="52">B111/(1+$B$1)^$A111</f>
        <v>887.58194388964569</v>
      </c>
      <c r="F111" s="10">
        <f t="shared" si="50"/>
        <v>870.74829931972783</v>
      </c>
      <c r="G111" s="10">
        <f t="shared" ref="G111:G112" si="53">F111-E111</f>
        <v>-16.833644569917851</v>
      </c>
      <c r="H111" s="10"/>
      <c r="L111" s="10"/>
      <c r="M111" s="10"/>
      <c r="N111" s="10"/>
      <c r="O111" s="10"/>
      <c r="P111" s="10"/>
      <c r="Q111" s="10"/>
      <c r="R111" s="10"/>
    </row>
    <row r="112" spans="1:18" x14ac:dyDescent="0.25">
      <c r="A112" s="6">
        <v>3</v>
      </c>
      <c r="B112" s="10">
        <v>978.55909313833445</v>
      </c>
      <c r="C112" s="10">
        <f>Työkaluvälilehti!$B$12*(A112-A111)*Työkaluvälilehti!$B$5</f>
        <v>960</v>
      </c>
      <c r="D112" s="10">
        <f t="shared" si="51"/>
        <v>-18.559093138334447</v>
      </c>
      <c r="E112" s="10">
        <f t="shared" si="52"/>
        <v>845.31613703775781</v>
      </c>
      <c r="F112" s="10">
        <f t="shared" si="50"/>
        <v>829.28409459021691</v>
      </c>
      <c r="G112" s="10">
        <f t="shared" si="53"/>
        <v>-16.032042447540903</v>
      </c>
      <c r="H112" s="10"/>
      <c r="L112" s="10"/>
      <c r="M112" s="10"/>
      <c r="N112" s="10"/>
      <c r="O112" s="10"/>
      <c r="P112" s="10"/>
      <c r="Q112" s="10"/>
      <c r="R112" s="10"/>
    </row>
    <row r="113" spans="1:18" x14ac:dyDescent="0.25">
      <c r="A113" s="6">
        <v>4</v>
      </c>
      <c r="B113" s="10">
        <v>978.55909313833445</v>
      </c>
      <c r="C113" s="10">
        <f>Työkaluvälilehti!$B$12*(A113-A112)*Työkaluvälilehti!$B$5</f>
        <v>960</v>
      </c>
      <c r="D113" s="10">
        <f>C113-B113</f>
        <v>-18.559093138334447</v>
      </c>
      <c r="E113" s="10">
        <f t="shared" si="52"/>
        <v>805.06298765500753</v>
      </c>
      <c r="F113" s="10">
        <f t="shared" si="52"/>
        <v>789.79437580020669</v>
      </c>
      <c r="G113" s="10">
        <f>F113-E113</f>
        <v>-15.268611854800838</v>
      </c>
      <c r="H113" s="10"/>
      <c r="L113" s="10"/>
      <c r="M113" s="10"/>
      <c r="N113" s="10"/>
      <c r="O113" s="10"/>
      <c r="P113" s="10"/>
      <c r="Q113" s="10"/>
      <c r="R113" s="10"/>
    </row>
    <row r="114" spans="1:18" x14ac:dyDescent="0.25">
      <c r="A114" s="6">
        <v>5</v>
      </c>
      <c r="B114" s="10">
        <v>978.55909313833445</v>
      </c>
      <c r="C114" s="10">
        <f>Työkaluvälilehti!$B$12*(A114-A113)*Työkaluvälilehti!$B$5</f>
        <v>960</v>
      </c>
      <c r="D114" s="10">
        <f>C114-B114</f>
        <v>-18.559093138334447</v>
      </c>
      <c r="E114" s="10">
        <f t="shared" si="52"/>
        <v>766.72665490953091</v>
      </c>
      <c r="F114" s="10">
        <f t="shared" si="52"/>
        <v>752.18511980972062</v>
      </c>
      <c r="G114" s="10">
        <f>F114-E114</f>
        <v>-14.541535099810289</v>
      </c>
      <c r="H114" s="10"/>
      <c r="L114" s="10"/>
      <c r="M114" s="10"/>
      <c r="N114" s="10"/>
      <c r="O114" s="10"/>
      <c r="P114" s="10"/>
      <c r="Q114" s="10"/>
      <c r="R114" s="10"/>
    </row>
    <row r="115" spans="1:18" x14ac:dyDescent="0.25">
      <c r="A115" s="6">
        <v>6</v>
      </c>
      <c r="B115" s="10">
        <v>978.55909313833445</v>
      </c>
      <c r="C115" s="10">
        <f>Työkaluvälilehti!$B$12*(A115-A114)*Työkaluvälilehti!$B$5</f>
        <v>960</v>
      </c>
      <c r="D115" s="10">
        <f>C115-B115</f>
        <v>-18.559093138334447</v>
      </c>
      <c r="E115" s="10">
        <f t="shared" si="52"/>
        <v>730.21586181860096</v>
      </c>
      <c r="F115" s="10">
        <f t="shared" si="52"/>
        <v>716.36678077116255</v>
      </c>
      <c r="G115" s="10">
        <f>F115-E115</f>
        <v>-13.849081047438403</v>
      </c>
      <c r="H115" s="10"/>
      <c r="L115" s="10"/>
      <c r="M115" s="10"/>
      <c r="N115" s="10"/>
      <c r="O115" s="10"/>
      <c r="P115" s="10"/>
      <c r="Q115" s="10"/>
      <c r="R115" s="10"/>
    </row>
    <row r="116" spans="1:18" x14ac:dyDescent="0.25">
      <c r="A116" s="6">
        <v>7</v>
      </c>
      <c r="B116" s="10">
        <v>978.55909313833445</v>
      </c>
      <c r="C116" s="10">
        <f>Työkaluvälilehti!$B$12*(A116-A115)*Työkaluvälilehti!$B$5</f>
        <v>960</v>
      </c>
      <c r="D116" s="10">
        <f t="shared" ref="D116:D117" si="54">C116-B116</f>
        <v>-18.559093138334447</v>
      </c>
      <c r="E116" s="10">
        <f>B116/(1+$B$1)^$A116</f>
        <v>695.44367792247692</v>
      </c>
      <c r="F116" s="10">
        <f t="shared" si="52"/>
        <v>682.2540769249166</v>
      </c>
      <c r="G116" s="10">
        <f>F116-E116</f>
        <v>-13.189600997560319</v>
      </c>
      <c r="H116" s="10"/>
      <c r="L116" s="10"/>
      <c r="M116" s="10"/>
      <c r="N116" s="10"/>
      <c r="O116" s="10"/>
      <c r="P116" s="10"/>
      <c r="Q116" s="10"/>
      <c r="R116" s="10"/>
    </row>
    <row r="117" spans="1:18" x14ac:dyDescent="0.25">
      <c r="A117" s="6">
        <v>8</v>
      </c>
      <c r="B117" s="10">
        <v>978.55909313833445</v>
      </c>
      <c r="C117" s="10">
        <f>Työkaluvälilehti!$B$12*(A117-A116)*Työkaluvälilehti!$B$5</f>
        <v>960</v>
      </c>
      <c r="D117" s="10">
        <f t="shared" si="54"/>
        <v>-18.559093138334447</v>
      </c>
      <c r="E117" s="10">
        <f t="shared" ref="E117" si="55">B117/(1+$B$1)^$A117</f>
        <v>662.32731230712102</v>
      </c>
      <c r="F117" s="10">
        <f t="shared" si="52"/>
        <v>649.76578754753973</v>
      </c>
      <c r="G117" s="10">
        <f t="shared" ref="G117:G118" si="56">F117-E117</f>
        <v>-12.561524759581289</v>
      </c>
      <c r="H117" s="10"/>
      <c r="L117" s="10"/>
      <c r="M117" s="10"/>
      <c r="N117" s="10"/>
      <c r="O117" s="10"/>
      <c r="P117" s="10"/>
      <c r="Q117" s="10"/>
      <c r="R117" s="10"/>
    </row>
    <row r="118" spans="1:18" x14ac:dyDescent="0.25">
      <c r="A118" s="6">
        <v>9</v>
      </c>
      <c r="B118" s="10">
        <v>978.55909313833445</v>
      </c>
      <c r="C118" s="10">
        <f>Työkaluvälilehti!$B$12*(A118-A117)*Työkaluvälilehti!$B$5</f>
        <v>960</v>
      </c>
      <c r="D118" s="10">
        <f>C118-B118</f>
        <v>-18.559093138334447</v>
      </c>
      <c r="E118" s="10">
        <f>B118/(1+$B$1)^$A118</f>
        <v>630.78791648297226</v>
      </c>
      <c r="F118" s="10">
        <f t="shared" si="52"/>
        <v>618.82455956908541</v>
      </c>
      <c r="G118" s="10">
        <f t="shared" si="56"/>
        <v>-11.963356913886855</v>
      </c>
      <c r="H118" s="10"/>
      <c r="L118" s="10"/>
      <c r="M118" s="10"/>
      <c r="N118" s="10"/>
      <c r="O118" s="10"/>
      <c r="P118" s="10"/>
      <c r="Q118" s="10"/>
      <c r="R118" s="10"/>
    </row>
    <row r="119" spans="1:18" x14ac:dyDescent="0.25">
      <c r="A119" s="6">
        <v>10</v>
      </c>
      <c r="B119" s="10">
        <v>1008.9054497274817</v>
      </c>
      <c r="C119" s="10">
        <f>Työkaluvälilehti!$B$12*(A119-A118)*Työkaluvälilehti!$B$5</f>
        <v>960</v>
      </c>
      <c r="D119" s="10">
        <f>C119-B119</f>
        <v>-48.905449727481709</v>
      </c>
      <c r="E119" s="10">
        <f>B119/(1+$B$1)^$A119</f>
        <v>619.38042715720132</v>
      </c>
      <c r="F119" s="10">
        <f>C119/(1+$B$1)^$A119</f>
        <v>589.3567233991289</v>
      </c>
      <c r="G119" s="10">
        <f>F119-E119</f>
        <v>-30.023703758072429</v>
      </c>
      <c r="H119" s="10"/>
      <c r="L119" s="10"/>
      <c r="M119" s="10"/>
      <c r="N119" s="10"/>
      <c r="O119" s="10"/>
      <c r="P119" s="10"/>
      <c r="Q119" s="10"/>
      <c r="R119" s="10"/>
    </row>
    <row r="120" spans="1:18" x14ac:dyDescent="0.25">
      <c r="A120" s="6" t="s">
        <v>103</v>
      </c>
      <c r="B120" s="10" t="s">
        <v>107</v>
      </c>
      <c r="C120" s="10" t="s">
        <v>98</v>
      </c>
      <c r="D120" s="10" t="s">
        <v>99</v>
      </c>
      <c r="E120" s="10" t="s">
        <v>100</v>
      </c>
      <c r="F120" s="10" t="s">
        <v>101</v>
      </c>
      <c r="G120" s="10" t="s">
        <v>102</v>
      </c>
      <c r="H120" s="10" t="s">
        <v>83</v>
      </c>
      <c r="L120" s="10"/>
      <c r="M120" s="10"/>
      <c r="N120" s="10"/>
      <c r="O120" s="10"/>
      <c r="P120" s="10"/>
      <c r="Q120" s="10"/>
      <c r="R120" s="10"/>
    </row>
    <row r="121" spans="1:18" x14ac:dyDescent="0.25">
      <c r="B121" s="10">
        <f>SUM(B109:B119)</f>
        <v>10167.398124127083</v>
      </c>
      <c r="C121" s="10">
        <f t="shared" ref="C121:G121" si="57">SUM(C109:C119)</f>
        <v>8640</v>
      </c>
      <c r="D121" s="10">
        <f t="shared" si="57"/>
        <v>-1527.3981241270862</v>
      </c>
      <c r="E121" s="10">
        <f t="shared" si="57"/>
        <v>7968.626266462662</v>
      </c>
      <c r="F121" s="10">
        <f t="shared" si="57"/>
        <v>6498.5798177317047</v>
      </c>
      <c r="G121" s="10">
        <f t="shared" si="57"/>
        <v>-1470.0464487309564</v>
      </c>
      <c r="H121" s="10">
        <f>G121/(1-(1/(1+$B$1))^(A119))</f>
        <v>-3807.5548104476279</v>
      </c>
      <c r="L121" s="10"/>
      <c r="M121" s="10"/>
      <c r="N121" s="10"/>
      <c r="O121" s="10"/>
      <c r="P121" s="10"/>
      <c r="Q121" s="10"/>
      <c r="R121" s="10"/>
    </row>
    <row r="122" spans="1:18" x14ac:dyDescent="0.25">
      <c r="B122" s="10" t="s">
        <v>104</v>
      </c>
      <c r="C122" s="10">
        <v>1844.739812412708</v>
      </c>
      <c r="D122" s="10"/>
      <c r="E122" s="10"/>
      <c r="F122" s="10"/>
      <c r="G122" s="10"/>
      <c r="H122" s="10"/>
      <c r="L122" s="10"/>
      <c r="M122" s="10"/>
      <c r="N122" s="10"/>
      <c r="O122" s="10"/>
      <c r="P122" s="10"/>
      <c r="Q122" s="10"/>
      <c r="R122" s="10"/>
    </row>
    <row r="123" spans="1:18" x14ac:dyDescent="0.25">
      <c r="A123" s="6" t="s">
        <v>11</v>
      </c>
      <c r="B123" s="10"/>
      <c r="C123" s="10"/>
      <c r="D123" s="10"/>
      <c r="E123" s="10"/>
      <c r="F123" s="10"/>
      <c r="G123" s="10"/>
      <c r="H123" s="10"/>
      <c r="L123" s="10"/>
      <c r="M123" s="10"/>
      <c r="N123" s="10"/>
      <c r="O123" s="10"/>
      <c r="P123" s="10"/>
      <c r="Q123" s="10"/>
      <c r="R123" s="10"/>
    </row>
    <row r="124" spans="1:18" x14ac:dyDescent="0.25">
      <c r="A124" s="6" t="s">
        <v>78</v>
      </c>
      <c r="B124" s="10" t="s">
        <v>107</v>
      </c>
      <c r="C124" s="10" t="s">
        <v>98</v>
      </c>
      <c r="D124" s="10" t="s">
        <v>99</v>
      </c>
      <c r="E124" s="10" t="s">
        <v>100</v>
      </c>
      <c r="F124" s="10" t="s">
        <v>101</v>
      </c>
      <c r="G124" s="10" t="s">
        <v>102</v>
      </c>
      <c r="H124" s="10"/>
      <c r="L124" s="10"/>
      <c r="M124" s="10"/>
      <c r="N124" s="10"/>
      <c r="O124" s="10"/>
      <c r="P124" s="10"/>
      <c r="Q124" s="10"/>
      <c r="R124" s="10"/>
    </row>
    <row r="125" spans="1:18" x14ac:dyDescent="0.25">
      <c r="A125" s="6">
        <v>0</v>
      </c>
      <c r="B125" s="10">
        <v>964.17833333333328</v>
      </c>
      <c r="C125" s="10">
        <v>0</v>
      </c>
      <c r="D125" s="10">
        <f>C125-B125</f>
        <v>-964.17833333333328</v>
      </c>
      <c r="E125" s="10">
        <f>B125/(1+$B$1)^$A125</f>
        <v>964.17833333333328</v>
      </c>
      <c r="F125" s="10">
        <f>C125/(1+$B$1)^$A125</f>
        <v>0</v>
      </c>
      <c r="G125" s="10">
        <f>F125-E125</f>
        <v>-964.17833333333328</v>
      </c>
      <c r="H125" s="10"/>
      <c r="L125" s="10"/>
      <c r="M125" s="10"/>
      <c r="N125" s="10"/>
      <c r="O125" s="10"/>
      <c r="P125" s="10"/>
      <c r="Q125" s="10"/>
      <c r="R125" s="10"/>
    </row>
    <row r="126" spans="1:18" x14ac:dyDescent="0.25">
      <c r="A126" s="6">
        <v>1</v>
      </c>
      <c r="B126" s="10">
        <v>685.90959595959589</v>
      </c>
      <c r="C126" s="10">
        <v>0</v>
      </c>
      <c r="D126" s="10">
        <f>C126-B126</f>
        <v>-685.90959595959589</v>
      </c>
      <c r="E126" s="10">
        <f>B126/(1+$B$1)^$A126</f>
        <v>653.24723424723413</v>
      </c>
      <c r="F126" s="10">
        <f t="shared" ref="F126:F128" si="58">C126/(1+$B$1)^$A126</f>
        <v>0</v>
      </c>
      <c r="G126" s="10">
        <f>F126-E126</f>
        <v>-653.24723424723413</v>
      </c>
      <c r="H126" s="10"/>
      <c r="L126" s="10"/>
      <c r="M126" s="10"/>
      <c r="N126" s="10"/>
      <c r="O126" s="10"/>
      <c r="P126" s="10"/>
      <c r="Q126" s="10"/>
      <c r="R126" s="10"/>
    </row>
    <row r="127" spans="1:18" x14ac:dyDescent="0.25">
      <c r="A127" s="6">
        <v>2</v>
      </c>
      <c r="B127" s="10">
        <v>1276.4018032045042</v>
      </c>
      <c r="C127" s="10">
        <f>Työkaluvälilehti!$B$13*(A127-A126)*Työkaluvälilehti!$B$6</f>
        <v>1500</v>
      </c>
      <c r="D127" s="10">
        <f t="shared" ref="D127:D128" si="59">C127-B127</f>
        <v>223.59819679549582</v>
      </c>
      <c r="E127" s="10">
        <f>B127/(1+$B$1)^$A127</f>
        <v>1157.7340618634958</v>
      </c>
      <c r="F127" s="10">
        <f>C127/(1+$B$1)^$A127</f>
        <v>1360.5442176870747</v>
      </c>
      <c r="G127" s="10">
        <f>F127-E127</f>
        <v>202.81015582357895</v>
      </c>
      <c r="H127" s="10"/>
      <c r="L127" s="10"/>
      <c r="M127" s="10"/>
      <c r="N127" s="10"/>
      <c r="O127" s="10"/>
      <c r="P127" s="10"/>
      <c r="Q127" s="10"/>
      <c r="R127" s="10"/>
    </row>
    <row r="128" spans="1:18" x14ac:dyDescent="0.25">
      <c r="A128" s="6">
        <v>3</v>
      </c>
      <c r="B128" s="10">
        <v>1276.4018032045042</v>
      </c>
      <c r="C128" s="10">
        <f>Työkaluvälilehti!$B$13*(A128-A127)*Työkaluvälilehti!$B$6</f>
        <v>1500</v>
      </c>
      <c r="D128" s="10">
        <f t="shared" si="59"/>
        <v>223.59819679549582</v>
      </c>
      <c r="E128" s="10">
        <f t="shared" ref="E128:F133" si="60">B128/(1+$B$1)^$A128</f>
        <v>1102.6038684414245</v>
      </c>
      <c r="F128" s="10">
        <f t="shared" si="58"/>
        <v>1295.756397797214</v>
      </c>
      <c r="G128" s="10">
        <f t="shared" ref="G128" si="61">F128-E128</f>
        <v>193.15252935578951</v>
      </c>
      <c r="H128" s="10"/>
      <c r="L128" s="10"/>
      <c r="M128" s="10"/>
      <c r="N128" s="10"/>
      <c r="O128" s="10"/>
      <c r="P128" s="10"/>
      <c r="Q128" s="10"/>
      <c r="R128" s="10"/>
    </row>
    <row r="129" spans="1:18" x14ac:dyDescent="0.25">
      <c r="A129" s="6">
        <v>4</v>
      </c>
      <c r="B129" s="10">
        <v>1276.4018032045042</v>
      </c>
      <c r="C129" s="10">
        <f>Työkaluvälilehti!$B$13*(A129-A128)*Työkaluvälilehti!$B$6</f>
        <v>1500</v>
      </c>
      <c r="D129" s="10">
        <f>C129-B129</f>
        <v>223.59819679549582</v>
      </c>
      <c r="E129" s="10">
        <f t="shared" si="60"/>
        <v>1050.0989223251663</v>
      </c>
      <c r="F129" s="10">
        <f t="shared" si="60"/>
        <v>1234.0537121878231</v>
      </c>
      <c r="G129" s="10">
        <f>F129-E129</f>
        <v>183.95478986265675</v>
      </c>
      <c r="H129" s="10"/>
      <c r="L129" s="10"/>
      <c r="M129" s="10"/>
      <c r="N129" s="10"/>
      <c r="O129" s="10"/>
      <c r="P129" s="10"/>
      <c r="Q129" s="10"/>
      <c r="R129" s="10"/>
    </row>
    <row r="130" spans="1:18" x14ac:dyDescent="0.25">
      <c r="A130" s="6">
        <v>5</v>
      </c>
      <c r="B130" s="10">
        <v>1802.0945163827987</v>
      </c>
      <c r="C130" s="10">
        <f>Työkaluvälilehti!$B$13*(A130-A129)*Työkaluvälilehti!$B$6</f>
        <v>1500</v>
      </c>
      <c r="D130" s="10">
        <f>C130-B130</f>
        <v>-302.0945163827987</v>
      </c>
      <c r="E130" s="10">
        <f t="shared" si="60"/>
        <v>1411.9882080352459</v>
      </c>
      <c r="F130" s="10">
        <f t="shared" si="60"/>
        <v>1175.2892497026885</v>
      </c>
      <c r="G130" s="10">
        <f>F130-E130</f>
        <v>-236.69895833255737</v>
      </c>
      <c r="H130" s="10"/>
      <c r="L130" s="10"/>
      <c r="M130" s="10"/>
      <c r="N130" s="10"/>
      <c r="O130" s="10"/>
      <c r="P130" s="10"/>
      <c r="Q130" s="10"/>
      <c r="R130" s="10"/>
    </row>
    <row r="131" spans="1:18" x14ac:dyDescent="0.25">
      <c r="A131" s="6">
        <v>6</v>
      </c>
      <c r="B131" s="10">
        <v>1276.4018032045042</v>
      </c>
      <c r="C131" s="10">
        <f>Työkaluvälilehti!$B$13*(A131-A130)*Työkaluvälilehti!$B$6</f>
        <v>1500</v>
      </c>
      <c r="D131" s="10">
        <f>C131-B131</f>
        <v>223.59819679549582</v>
      </c>
      <c r="E131" s="10">
        <f t="shared" si="60"/>
        <v>952.47067784595583</v>
      </c>
      <c r="F131" s="10">
        <f t="shared" si="60"/>
        <v>1119.3230949549416</v>
      </c>
      <c r="G131" s="10">
        <f>F131-E131</f>
        <v>166.85241710898572</v>
      </c>
      <c r="H131" s="10"/>
      <c r="L131" s="10"/>
      <c r="M131" s="10"/>
      <c r="N131" s="10"/>
      <c r="O131" s="10"/>
      <c r="P131" s="10"/>
      <c r="Q131" s="10"/>
      <c r="R131" s="10"/>
    </row>
    <row r="132" spans="1:18" x14ac:dyDescent="0.25">
      <c r="A132" s="6">
        <v>7</v>
      </c>
      <c r="B132" s="10">
        <v>1276.4018032045042</v>
      </c>
      <c r="C132" s="10">
        <f>Työkaluvälilehti!$B$13*(A132-A131)*Työkaluvälilehti!$B$6</f>
        <v>1500</v>
      </c>
      <c r="D132" s="10">
        <f t="shared" ref="D132:D133" si="62">C132-B132</f>
        <v>223.59819679549582</v>
      </c>
      <c r="E132" s="10">
        <f t="shared" si="60"/>
        <v>907.1149312818626</v>
      </c>
      <c r="F132" s="10">
        <f t="shared" si="60"/>
        <v>1066.0219951951822</v>
      </c>
      <c r="G132" s="10">
        <f>F132-E132</f>
        <v>158.90706391331958</v>
      </c>
      <c r="H132" s="10"/>
      <c r="L132" s="10"/>
      <c r="M132" s="10"/>
      <c r="N132" s="10"/>
      <c r="O132" s="10"/>
      <c r="P132" s="10"/>
      <c r="Q132" s="10"/>
      <c r="R132" s="10"/>
    </row>
    <row r="133" spans="1:18" x14ac:dyDescent="0.25">
      <c r="A133" s="6">
        <v>8</v>
      </c>
      <c r="B133" s="10">
        <v>1276.4018032045042</v>
      </c>
      <c r="C133" s="10">
        <f>Työkaluvälilehti!$B$13*(A133-A132)*Työkaluvälilehti!$B$6</f>
        <v>1500</v>
      </c>
      <c r="D133" s="10">
        <f t="shared" si="62"/>
        <v>223.59819679549582</v>
      </c>
      <c r="E133" s="10">
        <f t="shared" si="60"/>
        <v>863.91898217320249</v>
      </c>
      <c r="F133" s="10">
        <f>C133/(1+$B$1)^$A133</f>
        <v>1015.2590430430307</v>
      </c>
      <c r="G133" s="10">
        <f t="shared" ref="G133:G134" si="63">F133-E133</f>
        <v>151.34006086982822</v>
      </c>
      <c r="H133" s="10"/>
      <c r="L133" s="10"/>
      <c r="M133" s="10"/>
      <c r="N133" s="10"/>
      <c r="O133" s="10"/>
      <c r="P133" s="10"/>
      <c r="Q133" s="10"/>
      <c r="R133" s="10"/>
    </row>
    <row r="134" spans="1:18" x14ac:dyDescent="0.25">
      <c r="A134" s="6">
        <v>9</v>
      </c>
      <c r="B134" s="10">
        <v>1276.4018032045042</v>
      </c>
      <c r="C134" s="10">
        <f>Työkaluvälilehti!$B$13*(A134-A133)*Työkaluvälilehti!$B$6</f>
        <v>1500</v>
      </c>
      <c r="D134" s="10">
        <f>C134-B134</f>
        <v>223.59819679549582</v>
      </c>
      <c r="E134" s="10">
        <f>B134/(1+$B$1)^$A134</f>
        <v>822.77998302209755</v>
      </c>
      <c r="F134" s="10">
        <f>C134/(1+$B$1)^$A134</f>
        <v>966.91337432669593</v>
      </c>
      <c r="G134" s="10">
        <f t="shared" si="63"/>
        <v>144.13339130459838</v>
      </c>
      <c r="H134" s="10"/>
      <c r="L134" s="10"/>
      <c r="M134" s="10"/>
      <c r="N134" s="10"/>
      <c r="O134" s="10"/>
      <c r="P134" s="10"/>
      <c r="Q134" s="10"/>
      <c r="R134" s="10"/>
    </row>
    <row r="135" spans="1:18" x14ac:dyDescent="0.25">
      <c r="A135" s="6">
        <v>10</v>
      </c>
      <c r="B135" s="10">
        <v>651.18492042320304</v>
      </c>
      <c r="C135" s="10">
        <f>Työkaluvälilehti!$B$13*(A135-A134)*Työkaluvälilehti!$B$6</f>
        <v>1500</v>
      </c>
      <c r="D135" s="10">
        <f>C135-B135</f>
        <v>848.81507957679696</v>
      </c>
      <c r="E135" s="10">
        <f>B135/(1+$B$1)^$A135</f>
        <v>399.77105315368902</v>
      </c>
      <c r="F135" s="10">
        <f>C135/(1+$B$1)^$A135</f>
        <v>920.86988031113901</v>
      </c>
      <c r="G135" s="10">
        <f>F135-E135</f>
        <v>521.09882715744993</v>
      </c>
      <c r="H135" s="10"/>
      <c r="L135" s="10"/>
      <c r="M135" s="10"/>
      <c r="N135" s="10"/>
      <c r="O135" s="10"/>
      <c r="P135" s="10"/>
      <c r="Q135" s="10"/>
      <c r="R135" s="10"/>
    </row>
    <row r="136" spans="1:18" x14ac:dyDescent="0.25">
      <c r="A136" s="6" t="s">
        <v>103</v>
      </c>
      <c r="B136" s="10" t="s">
        <v>107</v>
      </c>
      <c r="C136" s="10" t="s">
        <v>98</v>
      </c>
      <c r="D136" s="10" t="s">
        <v>99</v>
      </c>
      <c r="E136" s="10" t="s">
        <v>100</v>
      </c>
      <c r="F136" s="10" t="s">
        <v>101</v>
      </c>
      <c r="G136" s="10" t="s">
        <v>102</v>
      </c>
      <c r="H136" s="10" t="s">
        <v>83</v>
      </c>
      <c r="L136" s="10"/>
      <c r="M136" s="10"/>
      <c r="N136" s="10"/>
      <c r="O136" s="10"/>
      <c r="P136" s="10"/>
      <c r="Q136" s="10"/>
      <c r="R136" s="10"/>
    </row>
    <row r="137" spans="1:18" x14ac:dyDescent="0.25">
      <c r="B137" s="10">
        <f>SUM(B125:B135)</f>
        <v>13038.179988530461</v>
      </c>
      <c r="C137" s="10">
        <f t="shared" ref="C137:F137" si="64">SUM(C125:C135)</f>
        <v>13500</v>
      </c>
      <c r="D137" s="10">
        <f t="shared" si="64"/>
        <v>461.82001146953985</v>
      </c>
      <c r="E137" s="10">
        <f t="shared" si="64"/>
        <v>10285.906255722706</v>
      </c>
      <c r="F137" s="10">
        <f t="shared" si="64"/>
        <v>10154.030965205789</v>
      </c>
      <c r="G137" s="10">
        <f>SUM(G125:G135)</f>
        <v>-131.87529051691786</v>
      </c>
      <c r="H137" s="10">
        <f>G137/(1-(1/(1+$B$1))^(A135))</f>
        <v>-341.56906893679115</v>
      </c>
      <c r="L137" s="10"/>
      <c r="M137" s="10"/>
      <c r="N137" s="10"/>
      <c r="O137" s="10"/>
      <c r="P137" s="10"/>
      <c r="Q137" s="10"/>
      <c r="R137" s="10"/>
    </row>
  </sheetData>
  <sheetProtection selectLockedCells="1" selectUnlockedCells="1"/>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3F5BBD-6FC8-4F62-9834-8241130F8A90}">
  <dimension ref="A1:W137"/>
  <sheetViews>
    <sheetView workbookViewId="0">
      <selection activeCell="K5" sqref="K5:K29"/>
    </sheetView>
  </sheetViews>
  <sheetFormatPr defaultColWidth="4.7109375" defaultRowHeight="15" x14ac:dyDescent="0.25"/>
  <cols>
    <col min="1" max="1" width="4.85546875" style="6" bestFit="1" customWidth="1"/>
    <col min="2" max="5" width="6" style="6" bestFit="1" customWidth="1"/>
    <col min="6" max="6" width="7.5703125" style="6" customWidth="1"/>
    <col min="7" max="8" width="5.85546875" style="6" bestFit="1" customWidth="1"/>
    <col min="9" max="9" width="10.7109375" style="6" customWidth="1"/>
    <col min="10" max="10" width="4.7109375" style="6"/>
    <col min="11" max="11" width="8.5703125" style="6" customWidth="1"/>
    <col min="12" max="13" width="4.7109375" style="6"/>
    <col min="14" max="14" width="8.85546875" style="6" bestFit="1" customWidth="1"/>
    <col min="15" max="16384" width="4.7109375" style="6"/>
  </cols>
  <sheetData>
    <row r="1" spans="1:23" x14ac:dyDescent="0.25">
      <c r="A1" s="6" t="s">
        <v>94</v>
      </c>
      <c r="B1" s="6">
        <v>0.04</v>
      </c>
    </row>
    <row r="3" spans="1:23" x14ac:dyDescent="0.25">
      <c r="A3" s="6" t="s">
        <v>95</v>
      </c>
    </row>
    <row r="4" spans="1:23" x14ac:dyDescent="0.25">
      <c r="A4" s="6" t="s">
        <v>78</v>
      </c>
      <c r="B4" s="6" t="s">
        <v>96</v>
      </c>
      <c r="C4" s="6" t="s">
        <v>97</v>
      </c>
      <c r="D4" s="6" t="s">
        <v>98</v>
      </c>
      <c r="E4" s="6" t="s">
        <v>99</v>
      </c>
      <c r="F4" s="6" t="s">
        <v>100</v>
      </c>
      <c r="G4" s="6" t="s">
        <v>101</v>
      </c>
      <c r="H4" s="6" t="s">
        <v>102</v>
      </c>
      <c r="T4" s="10"/>
      <c r="U4" s="10"/>
    </row>
    <row r="5" spans="1:23" x14ac:dyDescent="0.25">
      <c r="A5" s="6">
        <v>0</v>
      </c>
      <c r="B5" s="10">
        <v>2623.0520000000001</v>
      </c>
      <c r="C5" s="6">
        <v>0</v>
      </c>
      <c r="D5" s="10">
        <v>0</v>
      </c>
      <c r="E5" s="10">
        <f>D5-B5-C5</f>
        <v>-2623.0520000000001</v>
      </c>
      <c r="F5" s="10">
        <f>B5/(1+$B$1)^$A5+C5/(1+$B$1)^$A5</f>
        <v>2623.0520000000001</v>
      </c>
      <c r="G5" s="10">
        <f t="shared" ref="G5:G12" si="0">D5/(1+$B$1)^$A5</f>
        <v>0</v>
      </c>
      <c r="H5" s="10">
        <f>G5-F5</f>
        <v>-2623.0520000000001</v>
      </c>
      <c r="I5" s="10"/>
      <c r="K5" s="10">
        <f>E5/(1+$B$1)^(A5)</f>
        <v>-2623.0520000000001</v>
      </c>
      <c r="L5" s="10"/>
      <c r="M5" s="10"/>
      <c r="N5" s="10"/>
      <c r="O5" s="10"/>
      <c r="P5" s="10"/>
      <c r="Q5" s="10"/>
      <c r="R5" s="10"/>
    </row>
    <row r="6" spans="1:23" x14ac:dyDescent="0.25">
      <c r="A6" s="6">
        <v>1</v>
      </c>
      <c r="B6" s="10">
        <v>123.69</v>
      </c>
      <c r="C6" s="6">
        <v>0</v>
      </c>
      <c r="D6" s="10">
        <v>0</v>
      </c>
      <c r="E6" s="10">
        <f t="shared" ref="E6:E12" si="1">D6-B6-C6</f>
        <v>-123.69</v>
      </c>
      <c r="F6" s="10">
        <f t="shared" ref="F6" si="2">B6/(1+$B$1)^$A6+C6/(1+$B$1)^$A6</f>
        <v>118.93269230769231</v>
      </c>
      <c r="G6" s="10">
        <f t="shared" si="0"/>
        <v>0</v>
      </c>
      <c r="H6" s="10">
        <f>G6-F6</f>
        <v>-118.93269230769231</v>
      </c>
      <c r="I6" s="10"/>
      <c r="K6" s="10">
        <f t="shared" ref="K6:K12" si="3">E6/(1+$B$1)^(A6)</f>
        <v>-118.93269230769231</v>
      </c>
      <c r="L6" s="10"/>
      <c r="M6" s="10"/>
      <c r="N6" s="10"/>
      <c r="O6" s="10"/>
      <c r="P6" s="10"/>
      <c r="Q6" s="10"/>
      <c r="R6" s="10"/>
      <c r="S6" s="13"/>
      <c r="T6" s="10"/>
      <c r="U6" s="10"/>
      <c r="V6" s="10"/>
      <c r="W6" s="10"/>
    </row>
    <row r="7" spans="1:23" x14ac:dyDescent="0.25">
      <c r="A7" s="6">
        <v>5</v>
      </c>
      <c r="B7" s="10">
        <v>366.1198</v>
      </c>
      <c r="C7" s="6">
        <f>750.215+224.759*Laskuri!$B$13-1.873*Laskuri!$B$13^2</f>
        <v>1827.1849999999997</v>
      </c>
      <c r="D7" s="10">
        <f>Työkaluvälilehti!$B$10*(A7-A6)*Työkaluvälilehti!$B$2</f>
        <v>2510.2560000000003</v>
      </c>
      <c r="E7" s="10">
        <f>D7-B7-C7</f>
        <v>316.95120000000065</v>
      </c>
      <c r="F7" s="10">
        <f t="shared" ref="F7:F12" si="4">B7/(1+$B$1)^$A7+C7/(1+$B$1)^$A7</f>
        <v>1802.736668505398</v>
      </c>
      <c r="G7" s="10">
        <f t="shared" si="0"/>
        <v>2063.247451305303</v>
      </c>
      <c r="H7" s="10">
        <f t="shared" ref="H7:H11" si="5">G7-F7</f>
        <v>260.51078279990497</v>
      </c>
      <c r="I7" s="10"/>
      <c r="K7" s="10">
        <f t="shared" si="3"/>
        <v>260.51078279990514</v>
      </c>
      <c r="L7" s="10"/>
      <c r="M7" s="10"/>
      <c r="N7" s="10"/>
      <c r="O7" s="10"/>
      <c r="P7" s="10"/>
      <c r="Q7" s="10"/>
      <c r="R7" s="10"/>
      <c r="S7" s="13"/>
    </row>
    <row r="8" spans="1:23" x14ac:dyDescent="0.25">
      <c r="A8" s="6">
        <v>9</v>
      </c>
      <c r="B8" s="10">
        <v>366.1198</v>
      </c>
      <c r="C8" s="6">
        <f>750.215+224.759*Laskuri!$B$13-1.873*Laskuri!$B$13^2</f>
        <v>1827.1849999999997</v>
      </c>
      <c r="D8" s="10">
        <f>Työkaluvälilehti!$B$10*(A8-A7)*Työkaluvälilehti!$B$2</f>
        <v>2510.2560000000003</v>
      </c>
      <c r="E8" s="10">
        <f>D8-B8-C8</f>
        <v>316.95120000000065</v>
      </c>
      <c r="F8" s="10">
        <f t="shared" si="4"/>
        <v>1540.9868595613796</v>
      </c>
      <c r="G8" s="10">
        <f t="shared" si="0"/>
        <v>1763.6725685071729</v>
      </c>
      <c r="H8" s="10">
        <f t="shared" si="5"/>
        <v>222.68570894579329</v>
      </c>
      <c r="I8" s="10"/>
      <c r="K8" s="10">
        <f t="shared" si="3"/>
        <v>222.68570894579346</v>
      </c>
      <c r="L8" s="10"/>
      <c r="M8" s="10"/>
      <c r="N8" s="10"/>
      <c r="O8" s="10"/>
      <c r="P8" s="10"/>
      <c r="Q8" s="10"/>
      <c r="R8" s="10"/>
      <c r="S8" s="13"/>
    </row>
    <row r="9" spans="1:23" x14ac:dyDescent="0.25">
      <c r="A9" s="6">
        <v>13</v>
      </c>
      <c r="B9" s="10">
        <v>366.1198</v>
      </c>
      <c r="C9" s="6">
        <f>750.215+224.759*Laskuri!$B$13-1.873*Laskuri!$B$13^2</f>
        <v>1827.1849999999997</v>
      </c>
      <c r="D9" s="10">
        <f>Työkaluvälilehti!$B$10*(A9-A8)*Työkaluvälilehti!$B$2</f>
        <v>2510.2560000000003</v>
      </c>
      <c r="E9" s="10">
        <f>D9-B9-C9</f>
        <v>316.95120000000065</v>
      </c>
      <c r="F9" s="10">
        <f t="shared" si="4"/>
        <v>1317.2420258748027</v>
      </c>
      <c r="G9" s="10">
        <f t="shared" si="0"/>
        <v>1507.5947031640924</v>
      </c>
      <c r="H9" s="10">
        <f t="shared" si="5"/>
        <v>190.35267728928966</v>
      </c>
      <c r="I9" s="10"/>
      <c r="K9" s="10">
        <f t="shared" si="3"/>
        <v>190.35267728928994</v>
      </c>
      <c r="L9" s="10"/>
      <c r="M9" s="10"/>
      <c r="N9" s="10"/>
      <c r="O9" s="10"/>
      <c r="P9" s="10"/>
      <c r="Q9" s="10"/>
      <c r="R9" s="10"/>
      <c r="S9" s="13"/>
    </row>
    <row r="10" spans="1:23" x14ac:dyDescent="0.25">
      <c r="A10" s="6">
        <v>17</v>
      </c>
      <c r="B10" s="10">
        <v>366.1198</v>
      </c>
      <c r="C10" s="6">
        <f>750.215+224.759*Laskuri!$B$13-1.873*Laskuri!$B$13^2</f>
        <v>1827.1849999999997</v>
      </c>
      <c r="D10" s="10">
        <f>Työkaluvälilehti!$B$10*(A10-A9)*Työkaluvälilehti!$B$2</f>
        <v>2510.2560000000003</v>
      </c>
      <c r="E10" s="10">
        <f t="shared" si="1"/>
        <v>316.95120000000065</v>
      </c>
      <c r="F10" s="10">
        <f t="shared" si="4"/>
        <v>1125.9840043182676</v>
      </c>
      <c r="G10" s="10">
        <f t="shared" si="0"/>
        <v>1288.6982706388815</v>
      </c>
      <c r="H10" s="10">
        <f t="shared" si="5"/>
        <v>162.71426632061389</v>
      </c>
      <c r="I10" s="10"/>
      <c r="K10" s="10">
        <f t="shared" si="3"/>
        <v>162.71426632061394</v>
      </c>
      <c r="L10" s="10"/>
      <c r="M10" s="10"/>
      <c r="N10" s="10"/>
      <c r="O10" s="10"/>
      <c r="P10" s="10"/>
      <c r="Q10" s="10"/>
      <c r="R10" s="10"/>
      <c r="S10" s="13"/>
    </row>
    <row r="11" spans="1:23" x14ac:dyDescent="0.25">
      <c r="A11" s="6">
        <v>21</v>
      </c>
      <c r="B11" s="10">
        <v>59</v>
      </c>
      <c r="C11" s="6">
        <f>750.215+224.759*Laskuri!$B$13-1.873*Laskuri!$B$13^2</f>
        <v>1827.1849999999997</v>
      </c>
      <c r="D11" s="10">
        <f>Työkaluvälilehti!$B$10*(A11-A10)*Työkaluvälilehti!$B$2</f>
        <v>2510.2560000000003</v>
      </c>
      <c r="E11" s="10">
        <f t="shared" si="1"/>
        <v>624.07100000000059</v>
      </c>
      <c r="F11" s="10">
        <f t="shared" si="4"/>
        <v>827.72135780834969</v>
      </c>
      <c r="G11" s="10">
        <f t="shared" si="0"/>
        <v>1101.5846827148755</v>
      </c>
      <c r="H11" s="10">
        <f t="shared" si="5"/>
        <v>273.8633249065258</v>
      </c>
      <c r="I11" s="10"/>
      <c r="K11" s="10">
        <f t="shared" si="3"/>
        <v>273.86332490652569</v>
      </c>
      <c r="L11" s="10"/>
      <c r="M11" s="10"/>
      <c r="N11" s="10"/>
      <c r="O11" s="10"/>
      <c r="P11" s="10"/>
      <c r="Q11" s="10"/>
      <c r="R11" s="10"/>
      <c r="S11" s="13"/>
    </row>
    <row r="12" spans="1:23" x14ac:dyDescent="0.25">
      <c r="A12" s="6">
        <v>22</v>
      </c>
      <c r="B12" s="10">
        <v>400.56279999999998</v>
      </c>
      <c r="C12" s="6">
        <v>0</v>
      </c>
      <c r="D12" s="10">
        <v>0</v>
      </c>
      <c r="E12" s="10">
        <f t="shared" si="1"/>
        <v>-400.56279999999998</v>
      </c>
      <c r="F12" s="10">
        <f t="shared" si="4"/>
        <v>169.01963115184807</v>
      </c>
      <c r="G12" s="10">
        <f t="shared" si="0"/>
        <v>0</v>
      </c>
      <c r="H12" s="10">
        <f>G12-F12</f>
        <v>-169.01963115184807</v>
      </c>
      <c r="I12" s="10"/>
      <c r="K12" s="10">
        <f t="shared" si="3"/>
        <v>-169.01963115184807</v>
      </c>
      <c r="L12" s="10"/>
      <c r="M12" s="10"/>
      <c r="N12" s="10"/>
      <c r="O12" s="10"/>
      <c r="P12" s="10"/>
      <c r="Q12" s="10"/>
      <c r="R12" s="10"/>
      <c r="S12" s="13"/>
    </row>
    <row r="13" spans="1:23" x14ac:dyDescent="0.25">
      <c r="A13" s="6" t="s">
        <v>103</v>
      </c>
      <c r="B13" s="10" t="s">
        <v>96</v>
      </c>
      <c r="C13" s="6" t="s">
        <v>97</v>
      </c>
      <c r="D13" s="10" t="s">
        <v>98</v>
      </c>
      <c r="E13" s="10" t="s">
        <v>99</v>
      </c>
      <c r="F13" s="10" t="s">
        <v>100</v>
      </c>
      <c r="G13" s="10" t="s">
        <v>101</v>
      </c>
      <c r="H13" s="10" t="s">
        <v>102</v>
      </c>
      <c r="I13" s="10" t="s">
        <v>83</v>
      </c>
      <c r="K13" s="10"/>
      <c r="L13" s="10"/>
      <c r="M13" s="10"/>
      <c r="N13" s="10"/>
      <c r="O13" s="10"/>
      <c r="P13" s="10"/>
      <c r="Q13" s="10"/>
      <c r="R13" s="10"/>
    </row>
    <row r="14" spans="1:23" x14ac:dyDescent="0.25">
      <c r="B14" s="10">
        <f t="shared" ref="B14:H14" si="6">SUM(B5:B12)</f>
        <v>4670.7839999999997</v>
      </c>
      <c r="C14" s="10">
        <f t="shared" si="6"/>
        <v>9135.9249999999993</v>
      </c>
      <c r="D14" s="10">
        <f t="shared" si="6"/>
        <v>12551.280000000002</v>
      </c>
      <c r="E14" s="10">
        <f t="shared" si="6"/>
        <v>-1255.4289999999974</v>
      </c>
      <c r="F14" s="10">
        <f t="shared" si="6"/>
        <v>9525.6752395277399</v>
      </c>
      <c r="G14" s="10">
        <f t="shared" si="6"/>
        <v>7724.797676330325</v>
      </c>
      <c r="H14" s="10">
        <f t="shared" si="6"/>
        <v>-1800.8775631974127</v>
      </c>
      <c r="I14" s="10">
        <f>H14/(1-(1/(1+$B$1))^(A12))</f>
        <v>-3115.464657238967</v>
      </c>
      <c r="K14" s="10">
        <f>SUM(K5:K12)</f>
        <v>-1800.8775631974122</v>
      </c>
      <c r="L14" s="10"/>
      <c r="M14" s="10"/>
      <c r="N14" s="10"/>
      <c r="O14" s="10"/>
      <c r="P14" s="10"/>
      <c r="Q14" s="10"/>
      <c r="R14" s="10"/>
    </row>
    <row r="15" spans="1:23" x14ac:dyDescent="0.25">
      <c r="B15" s="10" t="s">
        <v>104</v>
      </c>
      <c r="C15" s="10">
        <v>1397.5694928126527</v>
      </c>
      <c r="D15" s="10"/>
      <c r="E15" s="10"/>
      <c r="F15" s="10"/>
      <c r="G15" s="10"/>
      <c r="H15" s="10"/>
      <c r="K15" s="10"/>
      <c r="L15" s="10"/>
      <c r="M15" s="10"/>
      <c r="N15" s="10"/>
      <c r="O15" s="10"/>
      <c r="P15" s="10"/>
      <c r="Q15" s="10"/>
      <c r="R15" s="10"/>
    </row>
    <row r="16" spans="1:23" x14ac:dyDescent="0.25">
      <c r="B16" s="10"/>
      <c r="C16" s="10"/>
      <c r="D16" s="10"/>
      <c r="E16" s="10"/>
      <c r="F16" s="10"/>
      <c r="G16" s="10"/>
      <c r="H16" s="10"/>
      <c r="K16" s="10"/>
      <c r="L16" s="10"/>
      <c r="M16" s="10"/>
      <c r="N16" s="10"/>
      <c r="O16" s="10"/>
      <c r="P16" s="10"/>
      <c r="Q16" s="10"/>
      <c r="R16" s="10"/>
    </row>
    <row r="17" spans="1:18" x14ac:dyDescent="0.25">
      <c r="B17" s="10"/>
      <c r="C17" s="10"/>
      <c r="D17" s="10"/>
      <c r="E17" s="10"/>
      <c r="F17" s="10"/>
      <c r="G17" s="10"/>
      <c r="H17" s="10"/>
      <c r="K17" s="10"/>
      <c r="L17" s="10"/>
      <c r="M17" s="10"/>
      <c r="N17" s="10"/>
      <c r="O17" s="10"/>
      <c r="P17" s="10"/>
      <c r="Q17" s="10"/>
      <c r="R17" s="10"/>
    </row>
    <row r="18" spans="1:18" x14ac:dyDescent="0.25">
      <c r="A18" s="6" t="s">
        <v>105</v>
      </c>
      <c r="B18" s="10"/>
      <c r="C18" s="10"/>
      <c r="D18" s="10"/>
      <c r="E18" s="10"/>
      <c r="F18" s="10"/>
      <c r="G18" s="10"/>
      <c r="H18" s="10"/>
      <c r="K18" s="10"/>
      <c r="L18" s="10"/>
      <c r="M18" s="10"/>
      <c r="N18" s="10"/>
      <c r="O18" s="10"/>
      <c r="P18" s="10"/>
      <c r="Q18" s="10"/>
      <c r="R18" s="10"/>
    </row>
    <row r="19" spans="1:18" x14ac:dyDescent="0.25">
      <c r="A19" s="6" t="s">
        <v>78</v>
      </c>
      <c r="B19" s="10" t="s">
        <v>96</v>
      </c>
      <c r="C19" s="6" t="s">
        <v>97</v>
      </c>
      <c r="D19" s="10" t="s">
        <v>98</v>
      </c>
      <c r="E19" s="10" t="s">
        <v>99</v>
      </c>
      <c r="F19" s="10" t="s">
        <v>100</v>
      </c>
      <c r="G19" s="10" t="s">
        <v>101</v>
      </c>
      <c r="H19" s="10" t="s">
        <v>102</v>
      </c>
      <c r="I19" s="10"/>
      <c r="K19" s="10"/>
      <c r="L19" s="10"/>
      <c r="M19" s="10"/>
      <c r="N19" s="10"/>
      <c r="O19" s="10"/>
      <c r="P19" s="10"/>
      <c r="Q19" s="10"/>
      <c r="R19" s="10"/>
    </row>
    <row r="20" spans="1:18" x14ac:dyDescent="0.25">
      <c r="A20" s="6">
        <v>0</v>
      </c>
      <c r="B20" s="10">
        <v>2707.34</v>
      </c>
      <c r="C20" s="6">
        <v>0</v>
      </c>
      <c r="D20" s="10">
        <v>0</v>
      </c>
      <c r="E20" s="10">
        <f>D20-B20-C20</f>
        <v>-2707.34</v>
      </c>
      <c r="F20" s="10">
        <f>B20/(1+$B$1)^$A20+C20/(1+$B$1)^$A20</f>
        <v>2707.34</v>
      </c>
      <c r="G20" s="10">
        <f t="shared" ref="G20:G27" si="7">D20/(1+$B$1)^$A20</f>
        <v>0</v>
      </c>
      <c r="H20" s="10">
        <f>G20-F20</f>
        <v>-2707.34</v>
      </c>
      <c r="I20" s="10"/>
      <c r="K20" s="10">
        <f>E20/(1+$B$1)^(A20)</f>
        <v>-2707.34</v>
      </c>
      <c r="L20" s="10"/>
      <c r="M20" s="10"/>
      <c r="N20" s="10"/>
      <c r="O20" s="10"/>
      <c r="P20" s="10"/>
      <c r="Q20" s="10"/>
      <c r="R20" s="10"/>
    </row>
    <row r="21" spans="1:18" x14ac:dyDescent="0.25">
      <c r="A21" s="6">
        <v>1</v>
      </c>
      <c r="B21" s="10">
        <v>320.15999999999997</v>
      </c>
      <c r="C21" s="6">
        <v>0</v>
      </c>
      <c r="D21" s="10">
        <v>0</v>
      </c>
      <c r="E21" s="10">
        <f t="shared" ref="E21:E27" si="8">D21-B21-C21</f>
        <v>-320.15999999999997</v>
      </c>
      <c r="F21" s="10">
        <f t="shared" ref="F21:F27" si="9">B21/(1+$B$1)^$A21+C21/(1+$B$1)^$A21</f>
        <v>307.84615384615381</v>
      </c>
      <c r="G21" s="10">
        <f t="shared" si="7"/>
        <v>0</v>
      </c>
      <c r="H21" s="10">
        <f>G21-F21</f>
        <v>-307.84615384615381</v>
      </c>
      <c r="I21" s="10"/>
      <c r="K21" s="10">
        <f t="shared" ref="K21:K27" si="10">E21/(1+$B$1)^(A21)</f>
        <v>-307.84615384615381</v>
      </c>
      <c r="L21" s="10"/>
      <c r="M21" s="10"/>
      <c r="N21" s="10"/>
      <c r="O21" s="10"/>
      <c r="P21" s="10"/>
      <c r="Q21" s="10"/>
      <c r="R21" s="10"/>
    </row>
    <row r="22" spans="1:18" x14ac:dyDescent="0.25">
      <c r="A22" s="6">
        <v>5</v>
      </c>
      <c r="B22" s="6">
        <v>441.2</v>
      </c>
      <c r="C22" s="6">
        <f>750.215+224.759*Laskuri!$B$13-1.873*Laskuri!$B$13^2</f>
        <v>1827.1849999999997</v>
      </c>
      <c r="D22" s="10">
        <f>Työkaluvälilehti!$B$10*(A22-A21)*Työkaluvälilehti!$B$2</f>
        <v>2510.2560000000003</v>
      </c>
      <c r="E22" s="10">
        <f>D22-B22-C22</f>
        <v>241.87100000000078</v>
      </c>
      <c r="F22" s="10">
        <f>B22/(1+$B$1)^$A22+C22/(1+$B$1)^$A22</f>
        <v>1864.4471200663115</v>
      </c>
      <c r="G22" s="10">
        <f t="shared" si="7"/>
        <v>2063.247451305303</v>
      </c>
      <c r="H22" s="10">
        <f t="shared" ref="H22:H26" si="11">G22-F22</f>
        <v>198.80033123899148</v>
      </c>
      <c r="I22" s="10"/>
      <c r="K22" s="10">
        <f t="shared" si="10"/>
        <v>198.80033123899176</v>
      </c>
      <c r="L22" s="10"/>
      <c r="M22" s="10"/>
      <c r="N22" s="10"/>
      <c r="O22" s="10"/>
      <c r="P22" s="10"/>
      <c r="Q22" s="10"/>
      <c r="R22" s="10"/>
    </row>
    <row r="23" spans="1:18" x14ac:dyDescent="0.25">
      <c r="A23" s="6">
        <v>9</v>
      </c>
      <c r="B23" s="6">
        <v>441.2</v>
      </c>
      <c r="C23" s="6">
        <f>750.215+224.759*Laskuri!$B$13-1.873*Laskuri!$B$13^2</f>
        <v>1827.1849999999997</v>
      </c>
      <c r="D23" s="10">
        <f>Työkaluvälilehti!$B$10*(A23-A22)*Työkaluvälilehti!$B$2</f>
        <v>2510.2560000000003</v>
      </c>
      <c r="E23" s="10">
        <f>D23-B23-C23</f>
        <v>241.87100000000078</v>
      </c>
      <c r="F23" s="10">
        <f>B23/(1+$B$1)^$A23+C23/(1+$B$1)^$A23</f>
        <v>1593.7372121859853</v>
      </c>
      <c r="G23" s="10">
        <f t="shared" si="7"/>
        <v>1763.6725685071729</v>
      </c>
      <c r="H23" s="10">
        <f t="shared" si="11"/>
        <v>169.93535632118756</v>
      </c>
      <c r="I23" s="10"/>
      <c r="K23" s="10">
        <f t="shared" si="10"/>
        <v>169.93535632118787</v>
      </c>
      <c r="L23" s="10"/>
      <c r="M23" s="10"/>
      <c r="N23" s="10"/>
      <c r="O23" s="10"/>
      <c r="P23" s="10"/>
      <c r="Q23" s="10"/>
      <c r="R23" s="10"/>
    </row>
    <row r="24" spans="1:18" x14ac:dyDescent="0.25">
      <c r="A24" s="6">
        <v>13</v>
      </c>
      <c r="B24" s="6">
        <v>441.2</v>
      </c>
      <c r="C24" s="6">
        <f>750.215+224.759*Laskuri!$B$13-1.873*Laskuri!$B$13^2</f>
        <v>1827.1849999999997</v>
      </c>
      <c r="D24" s="10">
        <f>Työkaluvälilehti!$B$10*(A24-A23)*Työkaluvälilehti!$B$2</f>
        <v>2510.2560000000003</v>
      </c>
      <c r="E24" s="10">
        <f>D24-B24-C24</f>
        <v>241.87100000000078</v>
      </c>
      <c r="F24" s="10">
        <f>B24/(1+$B$1)^$A24+C24/(1+$B$1)^$A24</f>
        <v>1362.3332483766114</v>
      </c>
      <c r="G24" s="10">
        <f t="shared" si="7"/>
        <v>1507.5947031640924</v>
      </c>
      <c r="H24" s="10">
        <f t="shared" si="11"/>
        <v>145.26145478748094</v>
      </c>
      <c r="I24" s="10"/>
      <c r="K24" s="10">
        <f t="shared" si="10"/>
        <v>145.26145478748117</v>
      </c>
      <c r="L24" s="10"/>
      <c r="M24" s="10"/>
      <c r="N24" s="10"/>
      <c r="O24" s="10"/>
      <c r="P24" s="10"/>
      <c r="Q24" s="10"/>
      <c r="R24" s="10"/>
    </row>
    <row r="25" spans="1:18" x14ac:dyDescent="0.25">
      <c r="A25" s="6">
        <v>17</v>
      </c>
      <c r="B25" s="6">
        <v>441.2</v>
      </c>
      <c r="C25" s="6">
        <f>750.215+224.759*Laskuri!$B$13-1.873*Laskuri!$B$13^2</f>
        <v>1827.1849999999997</v>
      </c>
      <c r="D25" s="10">
        <f>Työkaluvälilehti!$B$10*(A25-A24)*Työkaluvälilehti!$B$2</f>
        <v>2510.2560000000003</v>
      </c>
      <c r="E25" s="10">
        <f t="shared" si="8"/>
        <v>241.87100000000078</v>
      </c>
      <c r="F25" s="10">
        <f t="shared" si="9"/>
        <v>1164.5281702914676</v>
      </c>
      <c r="G25" s="10">
        <f t="shared" si="7"/>
        <v>1288.6982706388815</v>
      </c>
      <c r="H25" s="10">
        <f t="shared" si="11"/>
        <v>124.17010034741384</v>
      </c>
      <c r="I25" s="10"/>
      <c r="K25" s="10">
        <f t="shared" si="10"/>
        <v>124.17010034741392</v>
      </c>
      <c r="L25" s="10"/>
      <c r="M25" s="10"/>
      <c r="N25" s="10"/>
      <c r="O25" s="10"/>
      <c r="P25" s="10"/>
      <c r="Q25" s="10"/>
      <c r="R25" s="10"/>
    </row>
    <row r="26" spans="1:18" x14ac:dyDescent="0.25">
      <c r="A26" s="6">
        <v>21</v>
      </c>
      <c r="B26" s="10">
        <v>59</v>
      </c>
      <c r="C26" s="6">
        <f>750.215+224.759*Laskuri!$B$13-1.873*Laskuri!$B$13^2</f>
        <v>1827.1849999999997</v>
      </c>
      <c r="D26" s="10">
        <f>Työkaluvälilehti!$B$10*(A26-A25)*Työkaluvälilehti!$B$2</f>
        <v>2510.2560000000003</v>
      </c>
      <c r="E26" s="10">
        <f t="shared" si="8"/>
        <v>624.07100000000059</v>
      </c>
      <c r="F26" s="10">
        <f t="shared" si="9"/>
        <v>827.72135780834969</v>
      </c>
      <c r="G26" s="10">
        <f t="shared" si="7"/>
        <v>1101.5846827148755</v>
      </c>
      <c r="H26" s="10">
        <f t="shared" si="11"/>
        <v>273.8633249065258</v>
      </c>
      <c r="I26" s="10"/>
      <c r="K26" s="10">
        <f t="shared" si="10"/>
        <v>273.86332490652569</v>
      </c>
      <c r="L26" s="10"/>
      <c r="M26" s="10"/>
      <c r="N26" s="10"/>
      <c r="O26" s="10"/>
      <c r="P26" s="10"/>
      <c r="Q26" s="10"/>
      <c r="R26" s="10"/>
    </row>
    <row r="27" spans="1:18" x14ac:dyDescent="0.25">
      <c r="A27" s="6">
        <v>22</v>
      </c>
      <c r="B27" s="10">
        <v>400.56279999999998</v>
      </c>
      <c r="C27" s="6">
        <v>0</v>
      </c>
      <c r="D27" s="10">
        <v>0</v>
      </c>
      <c r="E27" s="10">
        <f t="shared" si="8"/>
        <v>-400.56279999999998</v>
      </c>
      <c r="F27" s="10">
        <f t="shared" si="9"/>
        <v>169.01963115184807</v>
      </c>
      <c r="G27" s="10">
        <f t="shared" si="7"/>
        <v>0</v>
      </c>
      <c r="H27" s="10">
        <f>G27-F27</f>
        <v>-169.01963115184807</v>
      </c>
      <c r="I27" s="10"/>
      <c r="K27" s="10">
        <f t="shared" si="10"/>
        <v>-169.01963115184807</v>
      </c>
      <c r="L27" s="10"/>
      <c r="M27" s="10"/>
      <c r="N27" s="10"/>
      <c r="O27" s="10"/>
      <c r="P27" s="10"/>
      <c r="Q27" s="10"/>
      <c r="R27" s="10"/>
    </row>
    <row r="28" spans="1:18" x14ac:dyDescent="0.25">
      <c r="A28" s="6" t="s">
        <v>103</v>
      </c>
      <c r="B28" s="10" t="s">
        <v>96</v>
      </c>
      <c r="C28" s="6" t="s">
        <v>97</v>
      </c>
      <c r="D28" s="10" t="s">
        <v>98</v>
      </c>
      <c r="E28" s="10" t="s">
        <v>99</v>
      </c>
      <c r="F28" s="10" t="s">
        <v>100</v>
      </c>
      <c r="G28" s="10" t="s">
        <v>101</v>
      </c>
      <c r="H28" s="10" t="s">
        <v>102</v>
      </c>
      <c r="I28" s="10" t="s">
        <v>83</v>
      </c>
      <c r="K28" s="10"/>
      <c r="L28" s="10"/>
      <c r="M28" s="10"/>
      <c r="N28" s="10"/>
      <c r="O28" s="10"/>
      <c r="P28" s="10"/>
      <c r="Q28" s="10"/>
      <c r="R28" s="10"/>
    </row>
    <row r="29" spans="1:18" x14ac:dyDescent="0.25">
      <c r="B29" s="10">
        <f>SUM(B20:B27)</f>
        <v>5251.862799999999</v>
      </c>
      <c r="C29" s="10">
        <f>SUM(C20:C27)</f>
        <v>9135.9249999999993</v>
      </c>
      <c r="D29" s="10">
        <f>SUM(D20:D27)</f>
        <v>12551.280000000002</v>
      </c>
      <c r="E29" s="10">
        <f>SUM(E20:E27)</f>
        <v>-1836.5077999999953</v>
      </c>
      <c r="F29" s="10">
        <f>SUM(F20:F27)</f>
        <v>9996.9728937267282</v>
      </c>
      <c r="G29" s="10">
        <f t="shared" ref="G29" si="12">SUM(G20:G27)</f>
        <v>7724.797676330325</v>
      </c>
      <c r="H29" s="10">
        <f>SUM(H20:H27)</f>
        <v>-2272.1752173964019</v>
      </c>
      <c r="I29" s="10">
        <f>H29/(1-(1/(1+$B$1))^(A27))</f>
        <v>-3930.7955907254359</v>
      </c>
      <c r="K29" s="10">
        <f>SUM(K20:K27)</f>
        <v>-2272.175217396401</v>
      </c>
      <c r="L29" s="10"/>
      <c r="M29" s="10"/>
      <c r="N29" s="10"/>
      <c r="O29" s="10"/>
      <c r="P29" s="10"/>
      <c r="Q29" s="10"/>
      <c r="R29" s="10"/>
    </row>
    <row r="30" spans="1:18" x14ac:dyDescent="0.25">
      <c r="B30" s="10" t="s">
        <v>104</v>
      </c>
      <c r="C30" s="10">
        <v>1436.0586439748142</v>
      </c>
      <c r="D30" s="10"/>
      <c r="E30" s="10"/>
      <c r="F30" s="10"/>
      <c r="G30" s="10"/>
      <c r="H30" s="10"/>
      <c r="L30" s="10"/>
      <c r="M30" s="10"/>
      <c r="N30" s="10"/>
      <c r="O30" s="10"/>
      <c r="P30" s="10"/>
      <c r="Q30" s="10"/>
      <c r="R30" s="10"/>
    </row>
    <row r="31" spans="1:18" x14ac:dyDescent="0.25">
      <c r="A31" s="6" t="s">
        <v>106</v>
      </c>
      <c r="B31" s="10"/>
      <c r="C31" s="10"/>
      <c r="D31" s="10"/>
      <c r="E31" s="10"/>
      <c r="F31" s="10"/>
      <c r="G31" s="10"/>
      <c r="H31" s="10"/>
      <c r="L31" s="10"/>
      <c r="M31" s="10"/>
      <c r="N31" s="10"/>
      <c r="O31" s="10"/>
      <c r="P31" s="10"/>
      <c r="Q31" s="10"/>
      <c r="R31" s="10"/>
    </row>
    <row r="32" spans="1:18" x14ac:dyDescent="0.25">
      <c r="A32" s="6" t="s">
        <v>78</v>
      </c>
      <c r="B32" s="10" t="s">
        <v>107</v>
      </c>
      <c r="C32" s="10" t="s">
        <v>98</v>
      </c>
      <c r="D32" s="10" t="s">
        <v>99</v>
      </c>
      <c r="E32" s="10" t="s">
        <v>100</v>
      </c>
      <c r="F32" s="10" t="s">
        <v>101</v>
      </c>
      <c r="G32" s="10" t="s">
        <v>102</v>
      </c>
      <c r="H32" s="10"/>
      <c r="L32" s="10"/>
      <c r="M32" s="10"/>
      <c r="N32" s="10"/>
      <c r="O32" s="10"/>
      <c r="P32" s="10"/>
      <c r="Q32" s="10"/>
      <c r="R32" s="10"/>
    </row>
    <row r="33" spans="1:18" x14ac:dyDescent="0.25">
      <c r="A33" s="6">
        <v>0</v>
      </c>
      <c r="B33" s="10">
        <v>370</v>
      </c>
      <c r="C33" s="10">
        <v>0</v>
      </c>
      <c r="D33" s="10">
        <f>C33-B33</f>
        <v>-370</v>
      </c>
      <c r="E33" s="10">
        <f>B33/(1+$B$1)^$A33</f>
        <v>370</v>
      </c>
      <c r="F33" s="10">
        <f>C33/(1+$B$1)^$A33</f>
        <v>0</v>
      </c>
      <c r="G33" s="10">
        <f>F33-E33</f>
        <v>-370</v>
      </c>
      <c r="H33" s="10"/>
      <c r="L33" s="10"/>
      <c r="M33" s="10"/>
      <c r="N33" s="10"/>
      <c r="O33" s="10"/>
      <c r="P33" s="10"/>
      <c r="Q33" s="10"/>
      <c r="R33" s="10"/>
    </row>
    <row r="34" spans="1:18" x14ac:dyDescent="0.25">
      <c r="A34" s="6">
        <v>22</v>
      </c>
      <c r="B34" s="10">
        <v>4633.3675838602585</v>
      </c>
      <c r="C34" s="10" t="e">
        <f>Työkaluvälilehti!$B$2*('4 % korko'!A34-'4 % korko'!A33)*Työkaluvälilehti!$B$11</f>
        <v>#REF!</v>
      </c>
      <c r="D34" s="10" t="e">
        <f t="shared" ref="D34:D36" si="13">C34-B34</f>
        <v>#REF!</v>
      </c>
      <c r="E34" s="10">
        <f>B34/(1+$B$1)^$A34</f>
        <v>1955.0744103421246</v>
      </c>
      <c r="F34" s="10" t="e">
        <f t="shared" ref="F34:F36" si="14">C34/(1+$B$1)^$A34</f>
        <v>#REF!</v>
      </c>
      <c r="G34" s="10" t="e">
        <f>F34-E34</f>
        <v>#REF!</v>
      </c>
      <c r="H34" s="10"/>
      <c r="L34" s="10"/>
      <c r="M34" s="10"/>
      <c r="N34" s="10"/>
      <c r="O34" s="10"/>
      <c r="P34" s="10"/>
      <c r="Q34" s="10"/>
      <c r="R34" s="10"/>
    </row>
    <row r="35" spans="1:18" x14ac:dyDescent="0.25">
      <c r="A35" s="6">
        <v>43</v>
      </c>
      <c r="B35" s="10">
        <v>4633.3675838602585</v>
      </c>
      <c r="C35" s="10" t="e">
        <f>Työkaluvälilehti!$B$2*('4 % korko'!A35-'4 % korko'!A34)*Työkaluvälilehti!$B$11</f>
        <v>#REF!</v>
      </c>
      <c r="D35" s="10" t="e">
        <f t="shared" si="13"/>
        <v>#REF!</v>
      </c>
      <c r="E35" s="10">
        <f t="shared" ref="E35:E36" si="15">B35/(1+$B$1)^$A35</f>
        <v>857.95234589647509</v>
      </c>
      <c r="F35" s="10" t="e">
        <f t="shared" si="14"/>
        <v>#REF!</v>
      </c>
      <c r="G35" s="10" t="e">
        <f t="shared" ref="G35:G36" si="16">F35-E35</f>
        <v>#REF!</v>
      </c>
      <c r="H35" s="10"/>
      <c r="L35" s="10"/>
      <c r="M35" s="10"/>
      <c r="N35" s="10"/>
      <c r="O35" s="10"/>
      <c r="P35" s="10"/>
      <c r="Q35" s="10"/>
      <c r="R35" s="10"/>
    </row>
    <row r="36" spans="1:18" x14ac:dyDescent="0.25">
      <c r="A36" s="6">
        <v>64</v>
      </c>
      <c r="B36" s="10">
        <v>5114.3867476233245</v>
      </c>
      <c r="C36" s="10" t="e">
        <f>Työkaluvälilehti!$B$2*('4 % korko'!A36-'4 % korko'!A35)*Työkaluvälilehti!$B$11</f>
        <v>#REF!</v>
      </c>
      <c r="D36" s="10" t="e">
        <f t="shared" si="13"/>
        <v>#REF!</v>
      </c>
      <c r="E36" s="10">
        <f t="shared" si="15"/>
        <v>415.58498764591769</v>
      </c>
      <c r="F36" s="10" t="e">
        <f t="shared" si="14"/>
        <v>#REF!</v>
      </c>
      <c r="G36" s="10" t="e">
        <f t="shared" si="16"/>
        <v>#REF!</v>
      </c>
      <c r="H36" s="10"/>
      <c r="L36" s="10"/>
      <c r="M36" s="10"/>
      <c r="N36" s="10"/>
      <c r="O36" s="10"/>
      <c r="P36" s="10"/>
      <c r="Q36" s="10"/>
      <c r="R36" s="10"/>
    </row>
    <row r="37" spans="1:18" x14ac:dyDescent="0.25">
      <c r="A37" s="6">
        <v>86</v>
      </c>
      <c r="B37" s="10">
        <v>4633.3675838602585</v>
      </c>
      <c r="C37" s="10" t="e">
        <f>Työkaluvälilehti!$B$2*('4 % korko'!A37-'4 % korko'!A36)*Työkaluvälilehti!$B$11</f>
        <v>#REF!</v>
      </c>
      <c r="D37" s="10" t="e">
        <f>C37-B37</f>
        <v>#REF!</v>
      </c>
      <c r="E37" s="10">
        <f>B37/(1+$B$1)^$A37</f>
        <v>158.86549351130972</v>
      </c>
      <c r="F37" s="10" t="e">
        <f>C37/(1+$B$1)^$A37</f>
        <v>#REF!</v>
      </c>
      <c r="G37" s="10" t="e">
        <f>F37-E37</f>
        <v>#REF!</v>
      </c>
      <c r="H37" s="10"/>
      <c r="L37" s="10"/>
      <c r="M37" s="10"/>
      <c r="N37" s="10"/>
      <c r="O37" s="10"/>
      <c r="P37" s="10"/>
      <c r="Q37" s="10"/>
      <c r="R37" s="10"/>
    </row>
    <row r="38" spans="1:18" x14ac:dyDescent="0.25">
      <c r="A38" s="6" t="s">
        <v>103</v>
      </c>
      <c r="B38" s="10" t="s">
        <v>107</v>
      </c>
      <c r="C38" s="10" t="s">
        <v>98</v>
      </c>
      <c r="D38" s="10" t="s">
        <v>99</v>
      </c>
      <c r="E38" s="10" t="s">
        <v>100</v>
      </c>
      <c r="F38" s="10" t="s">
        <v>101</v>
      </c>
      <c r="G38" s="10" t="s">
        <v>102</v>
      </c>
      <c r="H38" s="10" t="s">
        <v>83</v>
      </c>
      <c r="L38" s="10"/>
      <c r="M38" s="10"/>
      <c r="N38" s="10"/>
      <c r="O38" s="10"/>
      <c r="P38" s="10"/>
      <c r="Q38" s="10"/>
      <c r="R38" s="10"/>
    </row>
    <row r="39" spans="1:18" x14ac:dyDescent="0.25">
      <c r="B39" s="10">
        <f t="shared" ref="B39:G39" si="17">SUM(B33:B37)</f>
        <v>19384.489499204101</v>
      </c>
      <c r="C39" s="10" t="e">
        <f t="shared" si="17"/>
        <v>#REF!</v>
      </c>
      <c r="D39" s="10" t="e">
        <f t="shared" si="17"/>
        <v>#REF!</v>
      </c>
      <c r="E39" s="10">
        <f t="shared" si="17"/>
        <v>3757.4772373958272</v>
      </c>
      <c r="F39" s="10" t="e">
        <f t="shared" si="17"/>
        <v>#REF!</v>
      </c>
      <c r="G39" s="10" t="e">
        <f t="shared" si="17"/>
        <v>#REF!</v>
      </c>
      <c r="H39" s="10" t="e">
        <f>G33+G34+G35+G36+G37/(1-EXP(-$B$1*A37))</f>
        <v>#REF!</v>
      </c>
      <c r="L39" s="10"/>
      <c r="M39" s="10"/>
      <c r="N39" s="10"/>
      <c r="O39" s="10"/>
      <c r="P39" s="10"/>
      <c r="Q39" s="10"/>
      <c r="R39" s="10"/>
    </row>
    <row r="40" spans="1:18" x14ac:dyDescent="0.25">
      <c r="B40" s="10"/>
      <c r="C40" s="10"/>
      <c r="D40" s="10"/>
      <c r="E40" s="10"/>
      <c r="F40" s="10"/>
      <c r="G40" s="10"/>
      <c r="H40" s="10"/>
      <c r="L40" s="10"/>
      <c r="M40" s="10"/>
      <c r="N40" s="10"/>
      <c r="O40" s="10"/>
      <c r="P40" s="10"/>
      <c r="Q40" s="10"/>
      <c r="R40" s="10"/>
    </row>
    <row r="41" spans="1:18" x14ac:dyDescent="0.25">
      <c r="B41" s="10"/>
      <c r="C41" s="10"/>
      <c r="D41" s="10"/>
      <c r="E41" s="10"/>
      <c r="F41" s="10"/>
      <c r="G41" s="10"/>
      <c r="H41" s="10"/>
      <c r="L41" s="10"/>
      <c r="M41" s="10"/>
      <c r="N41" s="10"/>
      <c r="O41" s="10"/>
      <c r="P41" s="10"/>
      <c r="Q41" s="10"/>
      <c r="R41" s="10"/>
    </row>
    <row r="42" spans="1:18" x14ac:dyDescent="0.25">
      <c r="B42" s="10" t="s">
        <v>104</v>
      </c>
      <c r="C42" s="10">
        <v>2803.0909820774596</v>
      </c>
      <c r="D42" s="10"/>
      <c r="E42" s="10"/>
      <c r="F42" s="10"/>
      <c r="G42" s="10"/>
      <c r="H42" s="10"/>
      <c r="L42" s="10"/>
      <c r="M42" s="10"/>
      <c r="N42" s="10"/>
      <c r="O42" s="10"/>
      <c r="P42" s="10"/>
      <c r="Q42" s="10"/>
      <c r="R42" s="10"/>
    </row>
    <row r="43" spans="1:18" x14ac:dyDescent="0.25">
      <c r="A43" s="1" t="s">
        <v>126</v>
      </c>
      <c r="B43" s="10"/>
      <c r="C43" s="10"/>
      <c r="D43" s="10"/>
      <c r="E43" s="10"/>
      <c r="F43" s="10"/>
      <c r="G43" s="10"/>
      <c r="H43" s="10"/>
      <c r="L43" s="10"/>
      <c r="M43" s="10"/>
      <c r="N43" s="10"/>
      <c r="O43" s="10"/>
      <c r="P43" s="10"/>
      <c r="Q43" s="10"/>
      <c r="R43" s="10"/>
    </row>
    <row r="44" spans="1:18" x14ac:dyDescent="0.25">
      <c r="A44" s="6" t="s">
        <v>78</v>
      </c>
      <c r="B44" s="10" t="s">
        <v>107</v>
      </c>
      <c r="C44" s="10" t="s">
        <v>98</v>
      </c>
      <c r="D44" s="10" t="s">
        <v>99</v>
      </c>
      <c r="E44" s="10" t="s">
        <v>100</v>
      </c>
      <c r="F44" s="10" t="s">
        <v>101</v>
      </c>
      <c r="G44" s="10" t="s">
        <v>102</v>
      </c>
      <c r="H44" s="10"/>
      <c r="L44" s="10"/>
      <c r="M44" s="10"/>
      <c r="N44" s="10"/>
      <c r="O44" s="10"/>
      <c r="P44" s="10"/>
      <c r="Q44" s="10"/>
      <c r="R44" s="10"/>
    </row>
    <row r="45" spans="1:18" x14ac:dyDescent="0.25">
      <c r="A45" s="6">
        <v>0</v>
      </c>
      <c r="B45" s="10">
        <v>1241.0517070707067</v>
      </c>
      <c r="C45" s="10">
        <v>0</v>
      </c>
      <c r="D45" s="10">
        <f>C45-B45</f>
        <v>-1241.0517070707067</v>
      </c>
      <c r="E45" s="10">
        <f>B45/(1+$B$1)^$A45</f>
        <v>1241.0517070707067</v>
      </c>
      <c r="F45" s="10">
        <f>C45/(1+$B$1)^$A45</f>
        <v>0</v>
      </c>
      <c r="G45" s="10">
        <f>F45-E45</f>
        <v>-1241.0517070707067</v>
      </c>
      <c r="H45" s="10"/>
      <c r="L45" s="10"/>
      <c r="M45" s="10"/>
      <c r="N45" s="10"/>
      <c r="O45" s="10"/>
      <c r="P45" s="10"/>
      <c r="Q45" s="10"/>
      <c r="R45" s="10"/>
    </row>
    <row r="46" spans="1:18" x14ac:dyDescent="0.25">
      <c r="A46" s="6">
        <v>1</v>
      </c>
      <c r="B46" s="10">
        <v>88.968222222222209</v>
      </c>
      <c r="C46" s="10">
        <v>0</v>
      </c>
      <c r="D46" s="10">
        <f t="shared" ref="D46:D48" si="18">C46-B46</f>
        <v>-88.968222222222209</v>
      </c>
      <c r="E46" s="10">
        <f>B46/(1+$B$1)^$A46</f>
        <v>85.5463675213675</v>
      </c>
      <c r="F46" s="10">
        <f t="shared" ref="F46:F48" si="19">C46/(1+$B$1)^$A46</f>
        <v>0</v>
      </c>
      <c r="G46" s="10">
        <f>F46-E46</f>
        <v>-85.5463675213675</v>
      </c>
      <c r="H46" s="10"/>
      <c r="L46" s="10"/>
      <c r="M46" s="10"/>
      <c r="N46" s="10"/>
      <c r="O46" s="10"/>
      <c r="P46" s="10"/>
      <c r="Q46" s="10"/>
      <c r="R46" s="10"/>
    </row>
    <row r="47" spans="1:18" x14ac:dyDescent="0.25">
      <c r="A47" s="6">
        <v>2</v>
      </c>
      <c r="B47" s="10">
        <v>742.82444444444434</v>
      </c>
      <c r="C47" s="10">
        <f>Työkaluvälilehti!$B$12*(A47-A46)*Työkaluvälilehti!$B$7</f>
        <v>1236</v>
      </c>
      <c r="D47" s="10">
        <f t="shared" si="18"/>
        <v>493.17555555555566</v>
      </c>
      <c r="E47" s="10">
        <f t="shared" ref="E47:F54" si="20">B47/(1+$B$1)^$A47</f>
        <v>686.78295529257048</v>
      </c>
      <c r="F47" s="10">
        <f t="shared" si="19"/>
        <v>1142.7514792899408</v>
      </c>
      <c r="G47" s="10">
        <f t="shared" ref="G47:G48" si="21">F47-E47</f>
        <v>455.96852399737031</v>
      </c>
      <c r="H47" s="10"/>
      <c r="L47" s="10"/>
      <c r="M47" s="10"/>
      <c r="N47" s="10"/>
      <c r="O47" s="10"/>
      <c r="P47" s="10"/>
      <c r="Q47" s="10"/>
      <c r="R47" s="10"/>
    </row>
    <row r="48" spans="1:18" x14ac:dyDescent="0.25">
      <c r="A48" s="6">
        <v>3</v>
      </c>
      <c r="B48" s="10">
        <v>742.82444444444434</v>
      </c>
      <c r="C48" s="10">
        <f>Työkaluvälilehti!$B$12*(A48-A47)*Työkaluvälilehti!$B$7</f>
        <v>1236</v>
      </c>
      <c r="D48" s="10">
        <f t="shared" si="18"/>
        <v>493.17555555555566</v>
      </c>
      <c r="E48" s="10">
        <f t="shared" si="20"/>
        <v>660.36822624285628</v>
      </c>
      <c r="F48" s="10">
        <f t="shared" si="19"/>
        <v>1098.7994993172508</v>
      </c>
      <c r="G48" s="10">
        <f t="shared" si="21"/>
        <v>438.43127307439454</v>
      </c>
      <c r="H48" s="10"/>
      <c r="L48" s="10"/>
      <c r="M48" s="10"/>
      <c r="N48" s="10"/>
      <c r="O48" s="10"/>
      <c r="P48" s="10"/>
      <c r="Q48" s="10"/>
      <c r="R48" s="10"/>
    </row>
    <row r="49" spans="1:18" x14ac:dyDescent="0.25">
      <c r="A49" s="6">
        <v>4</v>
      </c>
      <c r="B49" s="10">
        <v>742.82444444444434</v>
      </c>
      <c r="C49" s="10">
        <f>Työkaluvälilehti!$B$12*(A49-A48)*Työkaluvälilehti!$B$7</f>
        <v>1236</v>
      </c>
      <c r="D49" s="10">
        <f>C49-B49</f>
        <v>493.17555555555566</v>
      </c>
      <c r="E49" s="10">
        <f t="shared" si="20"/>
        <v>634.96944831043868</v>
      </c>
      <c r="F49" s="10">
        <f t="shared" si="20"/>
        <v>1056.537980112741</v>
      </c>
      <c r="G49" s="10">
        <f>F49-E49</f>
        <v>421.56853180230235</v>
      </c>
      <c r="H49" s="10"/>
      <c r="L49" s="10"/>
      <c r="M49" s="10"/>
      <c r="N49" s="10"/>
      <c r="O49" s="10"/>
      <c r="P49" s="10"/>
      <c r="Q49" s="10"/>
      <c r="R49" s="10"/>
    </row>
    <row r="50" spans="1:18" x14ac:dyDescent="0.25">
      <c r="A50" s="6">
        <v>5</v>
      </c>
      <c r="B50" s="10">
        <v>742.82444444444434</v>
      </c>
      <c r="C50" s="10">
        <f>Työkaluvälilehti!$B$12*(A50-A49)*Työkaluvälilehti!$B$7</f>
        <v>1236</v>
      </c>
      <c r="D50" s="10">
        <f>C50-B50</f>
        <v>493.17555555555566</v>
      </c>
      <c r="E50" s="10">
        <f t="shared" si="20"/>
        <v>610.54754645234482</v>
      </c>
      <c r="F50" s="10">
        <f t="shared" si="20"/>
        <v>1015.9019039545585</v>
      </c>
      <c r="G50" s="10">
        <f>F50-E50</f>
        <v>405.3543575022137</v>
      </c>
      <c r="H50" s="10"/>
      <c r="L50" s="10"/>
      <c r="M50" s="10"/>
      <c r="N50" s="10"/>
      <c r="O50" s="10"/>
      <c r="P50" s="10"/>
      <c r="Q50" s="10"/>
      <c r="R50" s="10"/>
    </row>
    <row r="51" spans="1:18" x14ac:dyDescent="0.25">
      <c r="A51" s="6">
        <v>6</v>
      </c>
      <c r="B51" s="10">
        <v>742.82444444444434</v>
      </c>
      <c r="C51" s="10">
        <f>Työkaluvälilehti!$B$12*(A51-A50)*Työkaluvälilehti!$B$7</f>
        <v>1236</v>
      </c>
      <c r="D51" s="10">
        <f>C51-B51</f>
        <v>493.17555555555566</v>
      </c>
      <c r="E51" s="10">
        <f t="shared" si="20"/>
        <v>587.06494851186994</v>
      </c>
      <c r="F51" s="10">
        <f t="shared" si="20"/>
        <v>976.82875380246014</v>
      </c>
      <c r="G51" s="10">
        <f>F51-E51</f>
        <v>389.7638052905902</v>
      </c>
      <c r="H51" s="10"/>
      <c r="L51" s="10"/>
      <c r="M51" s="10"/>
      <c r="N51" s="10"/>
      <c r="O51" s="10"/>
      <c r="P51" s="10"/>
      <c r="Q51" s="10"/>
      <c r="R51" s="10"/>
    </row>
    <row r="52" spans="1:18" x14ac:dyDescent="0.25">
      <c r="A52" s="6">
        <v>7</v>
      </c>
      <c r="B52" s="10">
        <v>742.82444444444434</v>
      </c>
      <c r="C52" s="10">
        <f>Työkaluvälilehti!$B$12*(A52-A51)*Työkaluvälilehti!$B$7</f>
        <v>1236</v>
      </c>
      <c r="D52" s="10">
        <f t="shared" ref="D52:D53" si="22">C52-B52</f>
        <v>493.17555555555566</v>
      </c>
      <c r="E52" s="10">
        <f>B52/(1+$B$1)^$A52</f>
        <v>564.48552741525964</v>
      </c>
      <c r="F52" s="10">
        <f t="shared" si="20"/>
        <v>939.25841711775013</v>
      </c>
      <c r="G52" s="10">
        <f>F52-E52</f>
        <v>374.77288970249049</v>
      </c>
      <c r="H52" s="10"/>
      <c r="L52" s="10"/>
      <c r="M52" s="10"/>
      <c r="N52" s="10"/>
      <c r="O52" s="10"/>
      <c r="P52" s="10"/>
      <c r="Q52" s="10"/>
      <c r="R52" s="10"/>
    </row>
    <row r="53" spans="1:18" x14ac:dyDescent="0.25">
      <c r="A53" s="6">
        <v>8</v>
      </c>
      <c r="B53" s="10">
        <v>742.82444444444434</v>
      </c>
      <c r="C53" s="10">
        <f>Työkaluvälilehti!$B$12*(A53-A52)*Työkaluvälilehti!$B$7</f>
        <v>1236</v>
      </c>
      <c r="D53" s="10">
        <f t="shared" si="22"/>
        <v>493.17555555555566</v>
      </c>
      <c r="E53" s="10">
        <f t="shared" ref="E53" si="23">B53/(1+$B$1)^$A53</f>
        <v>542.77454559159571</v>
      </c>
      <c r="F53" s="10">
        <f t="shared" si="20"/>
        <v>903.13309338245199</v>
      </c>
      <c r="G53" s="10">
        <f t="shared" ref="G53:G54" si="24">F53-E53</f>
        <v>360.35854779085628</v>
      </c>
      <c r="H53" s="10"/>
      <c r="L53" s="10"/>
      <c r="M53" s="10"/>
      <c r="N53" s="10"/>
      <c r="O53" s="10"/>
      <c r="P53" s="10"/>
      <c r="Q53" s="10"/>
      <c r="R53" s="10"/>
    </row>
    <row r="54" spans="1:18" x14ac:dyDescent="0.25">
      <c r="A54" s="6">
        <v>9</v>
      </c>
      <c r="B54" s="10">
        <v>742.82444444444434</v>
      </c>
      <c r="C54" s="10">
        <f>Työkaluvälilehti!$B$12*(A54-A53)*Työkaluvälilehti!$B$7</f>
        <v>1236</v>
      </c>
      <c r="D54" s="10">
        <f>C54-B54</f>
        <v>493.17555555555566</v>
      </c>
      <c r="E54" s="10">
        <f>B54/(1+$B$1)^$A54</f>
        <v>521.89860153038046</v>
      </c>
      <c r="F54" s="10">
        <f t="shared" si="20"/>
        <v>868.39720517543446</v>
      </c>
      <c r="G54" s="10">
        <f t="shared" si="24"/>
        <v>346.498603645054</v>
      </c>
      <c r="H54" s="10"/>
      <c r="L54" s="10"/>
      <c r="M54" s="10"/>
      <c r="N54" s="10"/>
      <c r="O54" s="10"/>
      <c r="P54" s="10"/>
      <c r="Q54" s="10"/>
      <c r="R54" s="10"/>
    </row>
    <row r="55" spans="1:18" x14ac:dyDescent="0.25">
      <c r="A55" s="6">
        <v>10</v>
      </c>
      <c r="B55" s="10">
        <v>773.1708010335916</v>
      </c>
      <c r="C55" s="10">
        <f>Työkaluvälilehti!$B$12*(A55-A54)*Työkaluvälilehti!$B$7</f>
        <v>1236</v>
      </c>
      <c r="D55" s="10">
        <f>C55-B55</f>
        <v>462.8291989664084</v>
      </c>
      <c r="E55" s="10">
        <f>B55/(1+$B$1)^$A55</f>
        <v>522.3264895606352</v>
      </c>
      <c r="F55" s="10">
        <f>C55/(1+$B$1)^$A55</f>
        <v>834.99731266868696</v>
      </c>
      <c r="G55" s="10">
        <f>F55-E55</f>
        <v>312.67082310805176</v>
      </c>
      <c r="H55" s="10"/>
      <c r="L55" s="10"/>
      <c r="M55" s="10"/>
      <c r="N55" s="10"/>
      <c r="O55" s="10"/>
      <c r="P55" s="10"/>
      <c r="Q55" s="10"/>
      <c r="R55" s="10"/>
    </row>
    <row r="56" spans="1:18" x14ac:dyDescent="0.25">
      <c r="A56" s="6" t="s">
        <v>103</v>
      </c>
      <c r="B56" s="10" t="s">
        <v>107</v>
      </c>
      <c r="C56" s="10" t="s">
        <v>98</v>
      </c>
      <c r="D56" s="10" t="s">
        <v>99</v>
      </c>
      <c r="E56" s="10" t="s">
        <v>100</v>
      </c>
      <c r="F56" s="10" t="s">
        <v>101</v>
      </c>
      <c r="G56" s="10" t="s">
        <v>102</v>
      </c>
      <c r="H56" s="10" t="s">
        <v>83</v>
      </c>
      <c r="L56" s="10"/>
      <c r="M56" s="10"/>
      <c r="N56" s="10"/>
      <c r="O56" s="10"/>
      <c r="P56" s="10"/>
      <c r="Q56" s="10"/>
      <c r="R56" s="10"/>
    </row>
    <row r="57" spans="1:18" x14ac:dyDescent="0.25">
      <c r="B57" s="10">
        <f>SUM(B45:B55)</f>
        <v>8045.7862858820754</v>
      </c>
      <c r="C57" s="10">
        <f t="shared" ref="C57" si="25">SUM(C45:C55)</f>
        <v>11124</v>
      </c>
      <c r="D57" s="10">
        <f>SUM(D45:D55)</f>
        <v>3078.2137141179246</v>
      </c>
      <c r="E57" s="10">
        <f>SUM(E45:E55)</f>
        <v>6657.8163635000255</v>
      </c>
      <c r="F57" s="10">
        <f>SUM(F45:F55)</f>
        <v>8836.6056448212748</v>
      </c>
      <c r="G57" s="10">
        <f>SUM(G45:G55)</f>
        <v>2178.7892813212493</v>
      </c>
      <c r="H57" s="10">
        <f>G57/(1-(1/(1+$B$1))^(A55))</f>
        <v>6715.6246997618928</v>
      </c>
      <c r="L57" s="10"/>
      <c r="M57" s="10"/>
      <c r="N57" s="10"/>
      <c r="O57" s="10"/>
      <c r="P57" s="10"/>
      <c r="Q57" s="10"/>
      <c r="R57" s="10"/>
    </row>
    <row r="58" spans="1:18" x14ac:dyDescent="0.25">
      <c r="B58" s="10" t="s">
        <v>104</v>
      </c>
      <c r="C58" s="10">
        <v>1641.4215478428662</v>
      </c>
      <c r="D58" s="10"/>
      <c r="E58" s="10"/>
      <c r="F58" s="10"/>
      <c r="G58" s="10"/>
      <c r="H58" s="10"/>
      <c r="L58" s="10"/>
      <c r="M58" s="10"/>
      <c r="N58" s="10"/>
      <c r="O58" s="10"/>
      <c r="P58" s="10"/>
      <c r="Q58" s="10"/>
      <c r="R58" s="10"/>
    </row>
    <row r="59" spans="1:18" x14ac:dyDescent="0.25">
      <c r="A59" s="1" t="s">
        <v>127</v>
      </c>
      <c r="B59" s="10"/>
      <c r="C59" s="10"/>
      <c r="D59" s="10"/>
      <c r="E59" s="10"/>
      <c r="F59" s="10"/>
      <c r="G59" s="10"/>
      <c r="H59" s="10"/>
      <c r="L59" s="10"/>
      <c r="M59" s="10"/>
      <c r="N59" s="10"/>
      <c r="O59" s="10"/>
      <c r="P59" s="10"/>
      <c r="Q59" s="10"/>
      <c r="R59" s="10"/>
    </row>
    <row r="60" spans="1:18" x14ac:dyDescent="0.25">
      <c r="A60" s="6" t="s">
        <v>78</v>
      </c>
      <c r="B60" s="10" t="s">
        <v>107</v>
      </c>
      <c r="C60" s="10" t="s">
        <v>98</v>
      </c>
      <c r="D60" s="10" t="s">
        <v>99</v>
      </c>
      <c r="E60" s="10" t="s">
        <v>100</v>
      </c>
      <c r="F60" s="10" t="s">
        <v>101</v>
      </c>
      <c r="G60" s="10" t="s">
        <v>102</v>
      </c>
      <c r="H60" s="10"/>
      <c r="L60" s="10"/>
      <c r="M60" s="10"/>
      <c r="N60" s="10"/>
      <c r="O60" s="10"/>
      <c r="P60" s="10"/>
      <c r="Q60" s="10"/>
      <c r="R60" s="10"/>
    </row>
    <row r="61" spans="1:18" x14ac:dyDescent="0.25">
      <c r="A61" s="6">
        <v>0</v>
      </c>
      <c r="B61" s="10">
        <v>1757.8130404040403</v>
      </c>
      <c r="C61" s="10">
        <v>0</v>
      </c>
      <c r="D61" s="10">
        <f>C61-B61</f>
        <v>-1757.8130404040403</v>
      </c>
      <c r="E61" s="10">
        <f>B61/(1+$B$1)^$A61</f>
        <v>1757.8130404040403</v>
      </c>
      <c r="F61" s="10">
        <f>C61/(1+$B$1)^$A61</f>
        <v>0</v>
      </c>
      <c r="G61" s="10">
        <f>F61-E61</f>
        <v>-1757.8130404040403</v>
      </c>
      <c r="H61" s="10"/>
      <c r="L61" s="10"/>
      <c r="M61" s="10"/>
      <c r="N61" s="10"/>
      <c r="O61" s="10"/>
      <c r="P61" s="10"/>
      <c r="Q61" s="10"/>
      <c r="R61" s="10"/>
    </row>
    <row r="62" spans="1:18" x14ac:dyDescent="0.25">
      <c r="A62" s="6">
        <v>1</v>
      </c>
      <c r="B62" s="10">
        <v>88.968222222222209</v>
      </c>
      <c r="C62" s="10">
        <v>0</v>
      </c>
      <c r="D62" s="10">
        <f>C62-B62</f>
        <v>-88.968222222222209</v>
      </c>
      <c r="E62" s="10">
        <f>B62/(1+$B$1)^$A62</f>
        <v>85.5463675213675</v>
      </c>
      <c r="F62" s="10">
        <f t="shared" ref="F62:F64" si="26">C62/(1+$B$1)^$A62</f>
        <v>0</v>
      </c>
      <c r="G62" s="10">
        <f>F62-E62</f>
        <v>-85.5463675213675</v>
      </c>
      <c r="H62" s="10"/>
      <c r="L62" s="10"/>
      <c r="M62" s="10"/>
      <c r="N62" s="10"/>
      <c r="O62" s="10"/>
      <c r="P62" s="10"/>
      <c r="Q62" s="10"/>
      <c r="R62" s="10"/>
    </row>
    <row r="63" spans="1:18" x14ac:dyDescent="0.25">
      <c r="A63" s="6">
        <v>2</v>
      </c>
      <c r="B63" s="10">
        <v>742.82444444444434</v>
      </c>
      <c r="C63" s="10">
        <f>Työkaluvälilehti!$B$12*(A63-A62)*Työkaluvälilehti!$B$7</f>
        <v>1236</v>
      </c>
      <c r="D63" s="10">
        <f t="shared" ref="D63:D64" si="27">C63-B63</f>
        <v>493.17555555555566</v>
      </c>
      <c r="E63" s="10">
        <f t="shared" ref="E63:F70" si="28">B63/(1+$B$1)^$A63</f>
        <v>686.78295529257048</v>
      </c>
      <c r="F63" s="10">
        <f t="shared" si="26"/>
        <v>1142.7514792899408</v>
      </c>
      <c r="G63" s="10">
        <f t="shared" ref="G63:G64" si="29">F63-E63</f>
        <v>455.96852399737031</v>
      </c>
      <c r="H63" s="10"/>
      <c r="L63" s="10"/>
      <c r="M63" s="10"/>
      <c r="N63" s="10"/>
      <c r="O63" s="10"/>
      <c r="P63" s="10"/>
      <c r="Q63" s="10"/>
      <c r="R63" s="10"/>
    </row>
    <row r="64" spans="1:18" x14ac:dyDescent="0.25">
      <c r="A64" s="6">
        <v>3</v>
      </c>
      <c r="B64" s="10">
        <v>742.82444444444434</v>
      </c>
      <c r="C64" s="10">
        <f>Työkaluvälilehti!$B$12*(A64-A63)*Työkaluvälilehti!$B$7</f>
        <v>1236</v>
      </c>
      <c r="D64" s="10">
        <f t="shared" si="27"/>
        <v>493.17555555555566</v>
      </c>
      <c r="E64" s="10">
        <f t="shared" si="28"/>
        <v>660.36822624285628</v>
      </c>
      <c r="F64" s="10">
        <f t="shared" si="26"/>
        <v>1098.7994993172508</v>
      </c>
      <c r="G64" s="10">
        <f t="shared" si="29"/>
        <v>438.43127307439454</v>
      </c>
      <c r="H64" s="10"/>
      <c r="L64" s="10"/>
      <c r="M64" s="10"/>
      <c r="N64" s="10"/>
      <c r="O64" s="10"/>
      <c r="P64" s="10"/>
      <c r="Q64" s="10"/>
      <c r="R64" s="10"/>
    </row>
    <row r="65" spans="1:18" x14ac:dyDescent="0.25">
      <c r="A65" s="6">
        <v>4</v>
      </c>
      <c r="B65" s="10">
        <v>742.82444444444434</v>
      </c>
      <c r="C65" s="10">
        <f>Työkaluvälilehti!$B$12*(A65-A64)*Työkaluvälilehti!$B$7</f>
        <v>1236</v>
      </c>
      <c r="D65" s="10">
        <f>C65-B65</f>
        <v>493.17555555555566</v>
      </c>
      <c r="E65" s="10">
        <f t="shared" si="28"/>
        <v>634.96944831043868</v>
      </c>
      <c r="F65" s="10">
        <f t="shared" si="28"/>
        <v>1056.537980112741</v>
      </c>
      <c r="G65" s="10">
        <f>F65-E65</f>
        <v>421.56853180230235</v>
      </c>
      <c r="H65" s="10"/>
      <c r="L65" s="10"/>
      <c r="M65" s="10"/>
      <c r="N65" s="10"/>
      <c r="O65" s="10"/>
      <c r="P65" s="10"/>
      <c r="Q65" s="10"/>
      <c r="R65" s="10"/>
    </row>
    <row r="66" spans="1:18" x14ac:dyDescent="0.25">
      <c r="A66" s="6">
        <v>5</v>
      </c>
      <c r="B66" s="10">
        <v>1839.2540869156685</v>
      </c>
      <c r="C66" s="10">
        <f>Työkaluvälilehti!$B$12*(A66-A65)*Työkaluvälilehti!$B$7</f>
        <v>1236</v>
      </c>
      <c r="D66" s="10">
        <f>C66-B66</f>
        <v>-603.25408691566849</v>
      </c>
      <c r="E66" s="10">
        <f t="shared" si="28"/>
        <v>1511.7327902539082</v>
      </c>
      <c r="F66" s="10">
        <f t="shared" si="28"/>
        <v>1015.9019039545585</v>
      </c>
      <c r="G66" s="10">
        <f>F66-E66</f>
        <v>-495.83088629934969</v>
      </c>
      <c r="H66" s="10"/>
      <c r="L66" s="10"/>
      <c r="M66" s="10"/>
      <c r="N66" s="10"/>
      <c r="O66" s="10"/>
      <c r="P66" s="10"/>
      <c r="Q66" s="10"/>
      <c r="R66" s="10"/>
    </row>
    <row r="67" spans="1:18" x14ac:dyDescent="0.25">
      <c r="A67" s="6">
        <v>6</v>
      </c>
      <c r="B67" s="10">
        <v>231.00444444444449</v>
      </c>
      <c r="C67" s="10">
        <v>0</v>
      </c>
      <c r="D67" s="10">
        <f>C67-B67</f>
        <v>-231.00444444444449</v>
      </c>
      <c r="E67" s="10">
        <f t="shared" si="28"/>
        <v>182.56616795266694</v>
      </c>
      <c r="F67" s="10">
        <f t="shared" si="28"/>
        <v>0</v>
      </c>
      <c r="G67" s="10">
        <f>F67-E67</f>
        <v>-182.56616795266694</v>
      </c>
      <c r="H67" s="10"/>
      <c r="L67" s="10"/>
      <c r="M67" s="10"/>
      <c r="N67" s="10"/>
      <c r="O67" s="10"/>
      <c r="P67" s="10"/>
      <c r="Q67" s="10"/>
      <c r="R67" s="10"/>
    </row>
    <row r="68" spans="1:18" x14ac:dyDescent="0.25">
      <c r="A68" s="6">
        <v>7</v>
      </c>
      <c r="B68" s="10">
        <v>742.82444444444434</v>
      </c>
      <c r="C68" s="10">
        <f>Työkaluvälilehti!$B$12*(A68-A67)*Työkaluvälilehti!$B$7</f>
        <v>1236</v>
      </c>
      <c r="D68" s="10">
        <f t="shared" ref="D68:D69" si="30">C68-B68</f>
        <v>493.17555555555566</v>
      </c>
      <c r="E68" s="10">
        <f>B68/(1+$B$1)^$A68</f>
        <v>564.48552741525964</v>
      </c>
      <c r="F68" s="10">
        <f t="shared" si="28"/>
        <v>939.25841711775013</v>
      </c>
      <c r="G68" s="10">
        <f>F68-E68</f>
        <v>374.77288970249049</v>
      </c>
      <c r="H68" s="10"/>
      <c r="L68" s="10"/>
      <c r="M68" s="10"/>
      <c r="N68" s="10"/>
      <c r="O68" s="10"/>
      <c r="P68" s="10"/>
      <c r="Q68" s="10"/>
      <c r="R68" s="10"/>
    </row>
    <row r="69" spans="1:18" x14ac:dyDescent="0.25">
      <c r="A69" s="6">
        <v>8</v>
      </c>
      <c r="B69" s="10">
        <v>742.82444444444434</v>
      </c>
      <c r="C69" s="10">
        <f>Työkaluvälilehti!$B$12*(A69-A68)*Työkaluvälilehti!$B$7</f>
        <v>1236</v>
      </c>
      <c r="D69" s="10">
        <f t="shared" si="30"/>
        <v>493.17555555555566</v>
      </c>
      <c r="E69" s="10">
        <f t="shared" ref="E69" si="31">B69/(1+$B$1)^$A69</f>
        <v>542.77454559159571</v>
      </c>
      <c r="F69" s="10">
        <f t="shared" si="28"/>
        <v>903.13309338245199</v>
      </c>
      <c r="G69" s="10">
        <f t="shared" ref="G69:G70" si="32">F69-E69</f>
        <v>360.35854779085628</v>
      </c>
      <c r="H69" s="10"/>
      <c r="L69" s="10"/>
      <c r="M69" s="10"/>
      <c r="N69" s="10"/>
      <c r="O69" s="10"/>
      <c r="P69" s="10"/>
      <c r="Q69" s="10"/>
      <c r="R69" s="10"/>
    </row>
    <row r="70" spans="1:18" x14ac:dyDescent="0.25">
      <c r="A70" s="6">
        <v>9</v>
      </c>
      <c r="B70" s="10">
        <v>742.82444444444434</v>
      </c>
      <c r="C70" s="10">
        <f>Työkaluvälilehti!$B$12*(A70-A69)*Työkaluvälilehti!$B$7</f>
        <v>1236</v>
      </c>
      <c r="D70" s="10">
        <f>C70-B70</f>
        <v>493.17555555555566</v>
      </c>
      <c r="E70" s="10">
        <f>B70/(1+$B$1)^$A70</f>
        <v>521.89860153038046</v>
      </c>
      <c r="F70" s="10">
        <f t="shared" si="28"/>
        <v>868.39720517543446</v>
      </c>
      <c r="G70" s="10">
        <f t="shared" si="32"/>
        <v>346.498603645054</v>
      </c>
      <c r="H70" s="10"/>
      <c r="L70" s="10"/>
      <c r="M70" s="10"/>
      <c r="N70" s="10"/>
      <c r="O70" s="10"/>
      <c r="P70" s="10"/>
      <c r="Q70" s="10"/>
      <c r="R70" s="10"/>
    </row>
    <row r="71" spans="1:18" x14ac:dyDescent="0.25">
      <c r="A71" s="6">
        <v>10</v>
      </c>
      <c r="B71" s="10">
        <v>580.61937984496126</v>
      </c>
      <c r="C71" s="10">
        <f>Työkaluvälilehti!$B$12*(A71-A70)*Työkaluvälilehti!$B$7</f>
        <v>1236</v>
      </c>
      <c r="D71" s="10">
        <f>C71-B71</f>
        <v>655.38062015503874</v>
      </c>
      <c r="E71" s="10">
        <f>B71/(1+$B$1)^$A71</f>
        <v>392.24564874911187</v>
      </c>
      <c r="F71" s="10">
        <f>C71/(1+$B$1)^$A71</f>
        <v>834.99731266868696</v>
      </c>
      <c r="G71" s="10">
        <f>F71-E71</f>
        <v>442.75166391957509</v>
      </c>
      <c r="H71" s="10"/>
      <c r="L71" s="10"/>
      <c r="M71" s="10"/>
      <c r="N71" s="10"/>
      <c r="O71" s="10"/>
      <c r="P71" s="10"/>
      <c r="Q71" s="10"/>
      <c r="R71" s="10"/>
    </row>
    <row r="72" spans="1:18" x14ac:dyDescent="0.25">
      <c r="A72" s="6" t="s">
        <v>103</v>
      </c>
      <c r="B72" s="10" t="s">
        <v>107</v>
      </c>
      <c r="C72" s="10" t="s">
        <v>98</v>
      </c>
      <c r="D72" s="10" t="s">
        <v>99</v>
      </c>
      <c r="E72" s="10" t="s">
        <v>100</v>
      </c>
      <c r="F72" s="10" t="s">
        <v>101</v>
      </c>
      <c r="G72" s="10" t="s">
        <v>102</v>
      </c>
      <c r="H72" s="10" t="s">
        <v>83</v>
      </c>
      <c r="L72" s="10"/>
      <c r="M72" s="10"/>
      <c r="N72" s="10"/>
      <c r="O72" s="10"/>
      <c r="P72" s="10"/>
      <c r="Q72" s="10"/>
      <c r="R72" s="10"/>
    </row>
    <row r="73" spans="1:18" x14ac:dyDescent="0.25">
      <c r="B73" s="10">
        <f>SUM(B61:B71)</f>
        <v>8954.6058404980031</v>
      </c>
      <c r="C73" s="10">
        <f t="shared" ref="C73:G73" si="33">SUM(C61:C71)</f>
        <v>9888</v>
      </c>
      <c r="D73" s="10">
        <f t="shared" si="33"/>
        <v>933.39415950199702</v>
      </c>
      <c r="E73" s="10">
        <f t="shared" si="33"/>
        <v>7541.1833192641961</v>
      </c>
      <c r="F73" s="10">
        <f t="shared" si="33"/>
        <v>7859.7768910188151</v>
      </c>
      <c r="G73" s="10">
        <f t="shared" si="33"/>
        <v>318.59357175461867</v>
      </c>
      <c r="H73" s="10">
        <f>G73/(1-(1/(1+$B$1))^(A71))</f>
        <v>981.99255797844899</v>
      </c>
      <c r="L73" s="10"/>
      <c r="M73" s="10"/>
      <c r="N73" s="10"/>
      <c r="O73" s="10"/>
      <c r="P73" s="10"/>
      <c r="Q73" s="10"/>
      <c r="R73" s="10"/>
    </row>
    <row r="74" spans="1:18" x14ac:dyDescent="0.25">
      <c r="B74" s="10" t="s">
        <v>104</v>
      </c>
      <c r="C74" s="10">
        <v>1639.3209567206075</v>
      </c>
      <c r="D74" s="10"/>
      <c r="E74" s="10"/>
      <c r="F74" s="10"/>
      <c r="G74" s="10"/>
      <c r="H74" s="10"/>
      <c r="L74" s="10"/>
      <c r="M74" s="10"/>
      <c r="N74" s="10"/>
      <c r="O74" s="10"/>
      <c r="P74" s="10"/>
      <c r="Q74" s="10"/>
      <c r="R74" s="10"/>
    </row>
    <row r="75" spans="1:18" x14ac:dyDescent="0.25">
      <c r="A75" s="6" t="s">
        <v>72</v>
      </c>
      <c r="B75" s="10"/>
      <c r="C75" s="10"/>
      <c r="D75" s="10"/>
      <c r="E75" s="10"/>
      <c r="F75" s="10"/>
      <c r="G75" s="10"/>
      <c r="H75" s="10"/>
      <c r="L75" s="10"/>
      <c r="M75" s="10"/>
      <c r="N75" s="10"/>
      <c r="O75" s="10"/>
      <c r="P75" s="10"/>
      <c r="Q75" s="10"/>
      <c r="R75" s="10"/>
    </row>
    <row r="76" spans="1:18" x14ac:dyDescent="0.25">
      <c r="A76" s="6" t="s">
        <v>78</v>
      </c>
      <c r="B76" s="10" t="s">
        <v>107</v>
      </c>
      <c r="C76" s="10" t="s">
        <v>98</v>
      </c>
      <c r="D76" s="10" t="s">
        <v>99</v>
      </c>
      <c r="E76" s="10" t="s">
        <v>100</v>
      </c>
      <c r="F76" s="10" t="s">
        <v>101</v>
      </c>
      <c r="G76" s="10" t="s">
        <v>102</v>
      </c>
      <c r="H76" s="10"/>
      <c r="L76" s="10"/>
      <c r="M76" s="10"/>
      <c r="N76" s="10"/>
      <c r="O76" s="10"/>
      <c r="P76" s="10"/>
      <c r="Q76" s="10"/>
      <c r="R76" s="10"/>
    </row>
    <row r="77" spans="1:18" x14ac:dyDescent="0.25">
      <c r="A77" s="6">
        <v>0</v>
      </c>
      <c r="B77" s="10">
        <v>1241.0517070707067</v>
      </c>
      <c r="C77" s="10">
        <v>0</v>
      </c>
      <c r="D77" s="10">
        <f>C77-B77</f>
        <v>-1241.0517070707067</v>
      </c>
      <c r="E77" s="10">
        <f>B77/(1+$B$1)^$A77</f>
        <v>1241.0517070707067</v>
      </c>
      <c r="F77" s="10">
        <f>C77/(1+$B$1)^$A77</f>
        <v>0</v>
      </c>
      <c r="G77" s="10">
        <f>F77-E77</f>
        <v>-1241.0517070707067</v>
      </c>
      <c r="H77" s="10"/>
      <c r="L77" s="10"/>
      <c r="M77" s="10"/>
      <c r="N77" s="10"/>
      <c r="O77" s="10"/>
      <c r="P77" s="10"/>
      <c r="Q77" s="10"/>
      <c r="R77" s="10"/>
    </row>
    <row r="78" spans="1:18" x14ac:dyDescent="0.25">
      <c r="A78" s="6">
        <v>1</v>
      </c>
      <c r="B78" s="10">
        <v>655.17603864734315</v>
      </c>
      <c r="C78" s="10">
        <f>Työkaluvälilehti!$B$12*(A79-A78)*Työkaluvälilehti!$B$3</f>
        <v>960</v>
      </c>
      <c r="D78" s="10">
        <f>C78-B78</f>
        <v>304.82396135265685</v>
      </c>
      <c r="E78" s="10">
        <f>B78/(1+$B$1)^$A78</f>
        <v>629.97696023782999</v>
      </c>
      <c r="F78" s="10">
        <f t="shared" ref="F78:F80" si="34">C78/(1+$B$1)^$A78</f>
        <v>923.07692307692309</v>
      </c>
      <c r="G78" s="10">
        <f>F78-E78</f>
        <v>293.09996283909311</v>
      </c>
      <c r="H78" s="10"/>
      <c r="L78" s="10"/>
      <c r="M78" s="10"/>
      <c r="N78" s="10"/>
      <c r="O78" s="10"/>
      <c r="P78" s="10"/>
      <c r="Q78" s="10"/>
      <c r="R78" s="10"/>
    </row>
    <row r="79" spans="1:18" x14ac:dyDescent="0.25">
      <c r="A79" s="6">
        <v>2</v>
      </c>
      <c r="B79" s="10">
        <v>655.17603864734315</v>
      </c>
      <c r="C79" s="10">
        <f>Työkaluvälilehti!$B$12*(A79-A78)*Työkaluvälilehti!$B$3</f>
        <v>960</v>
      </c>
      <c r="D79" s="10">
        <f t="shared" ref="D79:D80" si="35">C79-B79</f>
        <v>304.82396135265685</v>
      </c>
      <c r="E79" s="10">
        <f t="shared" ref="E79:F86" si="36">B79/(1+$B$1)^$A79</f>
        <v>605.74707715175953</v>
      </c>
      <c r="F79" s="10">
        <f t="shared" si="34"/>
        <v>887.57396449704129</v>
      </c>
      <c r="G79" s="10">
        <f t="shared" ref="G79:G80" si="37">F79-E79</f>
        <v>281.82688734528176</v>
      </c>
      <c r="H79" s="10"/>
      <c r="L79" s="10"/>
      <c r="M79" s="10"/>
      <c r="N79" s="10"/>
      <c r="O79" s="10"/>
      <c r="P79" s="10"/>
      <c r="Q79" s="10"/>
      <c r="R79" s="10"/>
    </row>
    <row r="80" spans="1:18" x14ac:dyDescent="0.25">
      <c r="A80" s="6">
        <v>3</v>
      </c>
      <c r="B80" s="10">
        <v>655.17603864734315</v>
      </c>
      <c r="C80" s="10">
        <f>Työkaluvälilehti!$B$12*(A80-A79)*Työkaluvälilehti!$B$3</f>
        <v>960</v>
      </c>
      <c r="D80" s="10">
        <f t="shared" si="35"/>
        <v>304.82396135265685</v>
      </c>
      <c r="E80" s="10">
        <f t="shared" si="36"/>
        <v>582.44911264592258</v>
      </c>
      <c r="F80" s="10">
        <f t="shared" si="34"/>
        <v>853.43650432407821</v>
      </c>
      <c r="G80" s="10">
        <f t="shared" si="37"/>
        <v>270.98739167815563</v>
      </c>
      <c r="H80" s="10"/>
      <c r="L80" s="10"/>
      <c r="M80" s="10"/>
      <c r="N80" s="10"/>
      <c r="O80" s="10"/>
      <c r="P80" s="10"/>
      <c r="Q80" s="10"/>
      <c r="R80" s="10"/>
    </row>
    <row r="81" spans="1:18" x14ac:dyDescent="0.25">
      <c r="A81" s="6">
        <v>4</v>
      </c>
      <c r="B81" s="10">
        <v>655.17603864734315</v>
      </c>
      <c r="C81" s="10">
        <f>Työkaluvälilehti!$B$12*(A81-A80)*Työkaluvälilehti!$B$3</f>
        <v>960</v>
      </c>
      <c r="D81" s="10">
        <f>C81-B81</f>
        <v>304.82396135265685</v>
      </c>
      <c r="E81" s="10">
        <f t="shared" si="36"/>
        <v>560.04722369800243</v>
      </c>
      <c r="F81" s="10">
        <f t="shared" si="36"/>
        <v>820.61202338853661</v>
      </c>
      <c r="G81" s="10">
        <f>F81-E81</f>
        <v>260.56479969053419</v>
      </c>
      <c r="H81" s="10"/>
      <c r="L81" s="10"/>
      <c r="M81" s="10"/>
      <c r="N81" s="10"/>
      <c r="O81" s="10"/>
      <c r="P81" s="10"/>
      <c r="Q81" s="10"/>
      <c r="R81" s="10"/>
    </row>
    <row r="82" spans="1:18" x14ac:dyDescent="0.25">
      <c r="A82" s="6">
        <v>5</v>
      </c>
      <c r="B82" s="10">
        <v>655.17603864734315</v>
      </c>
      <c r="C82" s="10">
        <f>Työkaluvälilehti!$B$12*(A82-A81)*Työkaluvälilehti!$B$3</f>
        <v>960</v>
      </c>
      <c r="D82" s="10">
        <f>C82-B82</f>
        <v>304.82396135265685</v>
      </c>
      <c r="E82" s="10">
        <f t="shared" si="36"/>
        <v>538.5069458634639</v>
      </c>
      <c r="F82" s="10">
        <f t="shared" si="36"/>
        <v>789.05002248897745</v>
      </c>
      <c r="G82" s="10">
        <f>F82-E82</f>
        <v>250.54307662551355</v>
      </c>
      <c r="H82" s="10"/>
      <c r="L82" s="10"/>
      <c r="M82" s="10"/>
      <c r="N82" s="10"/>
      <c r="O82" s="10"/>
      <c r="P82" s="10"/>
      <c r="Q82" s="10"/>
      <c r="R82" s="10"/>
    </row>
    <row r="83" spans="1:18" x14ac:dyDescent="0.25">
      <c r="A83" s="6">
        <v>6</v>
      </c>
      <c r="B83" s="10">
        <v>655.17603864734315</v>
      </c>
      <c r="C83" s="10">
        <f>Työkaluvälilehti!$B$12*(A83-A82)*Työkaluvälilehti!$B$3</f>
        <v>960</v>
      </c>
      <c r="D83" s="10">
        <f>C83-B83</f>
        <v>304.82396135265685</v>
      </c>
      <c r="E83" s="10">
        <f t="shared" si="36"/>
        <v>517.7951402533306</v>
      </c>
      <c r="F83" s="10">
        <f t="shared" si="36"/>
        <v>758.70194470093986</v>
      </c>
      <c r="G83" s="10">
        <f>F83-E83</f>
        <v>240.90680444760926</v>
      </c>
      <c r="H83" s="10"/>
      <c r="L83" s="10"/>
      <c r="M83" s="10"/>
      <c r="N83" s="10"/>
      <c r="O83" s="10"/>
      <c r="P83" s="10"/>
      <c r="Q83" s="10"/>
      <c r="R83" s="10"/>
    </row>
    <row r="84" spans="1:18" x14ac:dyDescent="0.25">
      <c r="A84" s="6">
        <v>7</v>
      </c>
      <c r="B84" s="10">
        <v>655.17603864734315</v>
      </c>
      <c r="C84" s="10">
        <f>Työkaluvälilehti!$B$12*(A84-A83)*Työkaluvälilehti!$B$3</f>
        <v>960</v>
      </c>
      <c r="D84" s="10">
        <f t="shared" ref="D84:D85" si="38">C84-B84</f>
        <v>304.82396135265685</v>
      </c>
      <c r="E84" s="10">
        <f>B84/(1+$B$1)^$A84</f>
        <v>497.8799425512795</v>
      </c>
      <c r="F84" s="10">
        <f t="shared" si="36"/>
        <v>729.52110067398075</v>
      </c>
      <c r="G84" s="10">
        <f>F84-E84</f>
        <v>231.64115812270126</v>
      </c>
      <c r="H84" s="10"/>
      <c r="L84" s="10"/>
      <c r="M84" s="10"/>
      <c r="N84" s="10"/>
      <c r="O84" s="10"/>
      <c r="P84" s="10"/>
      <c r="Q84" s="10"/>
      <c r="R84" s="10"/>
    </row>
    <row r="85" spans="1:18" x14ac:dyDescent="0.25">
      <c r="A85" s="6">
        <v>8</v>
      </c>
      <c r="B85" s="10">
        <v>655.17603864734315</v>
      </c>
      <c r="C85" s="10">
        <f>Työkaluvälilehti!$B$12*(A85-A84)*Työkaluvälilehti!$B$3</f>
        <v>960</v>
      </c>
      <c r="D85" s="10">
        <f t="shared" si="38"/>
        <v>304.82396135265685</v>
      </c>
      <c r="E85" s="10">
        <f t="shared" ref="E85" si="39">B85/(1+$B$1)^$A85</f>
        <v>478.73071399161483</v>
      </c>
      <c r="F85" s="10">
        <f t="shared" si="36"/>
        <v>701.4625968019044</v>
      </c>
      <c r="G85" s="10">
        <f t="shared" ref="G85:G86" si="40">F85-E85</f>
        <v>222.73188281028956</v>
      </c>
      <c r="H85" s="10"/>
      <c r="L85" s="10"/>
      <c r="M85" s="10"/>
      <c r="N85" s="10"/>
      <c r="O85" s="10"/>
      <c r="P85" s="10"/>
      <c r="Q85" s="10"/>
      <c r="R85" s="10"/>
    </row>
    <row r="86" spans="1:18" x14ac:dyDescent="0.25">
      <c r="A86" s="6">
        <v>9</v>
      </c>
      <c r="B86" s="10">
        <v>655.17603864734315</v>
      </c>
      <c r="C86" s="10">
        <f>Työkaluvälilehti!$B$12*(A86-A85)*Työkaluvälilehti!$B$3</f>
        <v>960</v>
      </c>
      <c r="D86" s="10">
        <f>C86-B86</f>
        <v>304.82396135265685</v>
      </c>
      <c r="E86" s="10">
        <f>B86/(1+$B$1)^$A86</f>
        <v>460.31799422270649</v>
      </c>
      <c r="F86" s="10">
        <f t="shared" si="36"/>
        <v>674.48326615567726</v>
      </c>
      <c r="G86" s="10">
        <f t="shared" si="40"/>
        <v>214.16527193297077</v>
      </c>
      <c r="H86" s="10"/>
      <c r="L86" s="10"/>
      <c r="M86" s="10"/>
      <c r="N86" s="10"/>
      <c r="O86" s="10"/>
      <c r="P86" s="10"/>
      <c r="Q86" s="10"/>
      <c r="R86" s="10"/>
    </row>
    <row r="87" spans="1:18" x14ac:dyDescent="0.25">
      <c r="A87" s="6">
        <v>10</v>
      </c>
      <c r="B87" s="10">
        <v>685.52239523649041</v>
      </c>
      <c r="C87" s="10">
        <f>Työkaluvälilehti!$B$12*(A87-A86)*Työkaluvälilehti!$B$3</f>
        <v>960</v>
      </c>
      <c r="D87" s="10">
        <f>C87-B87</f>
        <v>274.47760476350959</v>
      </c>
      <c r="E87" s="10">
        <f>B87/(1+$B$1)^$A87</f>
        <v>463.11436714941021</v>
      </c>
      <c r="F87" s="10">
        <f>C87/(1+$B$1)^$A87</f>
        <v>648.54160207276664</v>
      </c>
      <c r="G87" s="10">
        <f>F87-E87</f>
        <v>185.42723492335642</v>
      </c>
      <c r="H87" s="10"/>
      <c r="L87" s="10"/>
      <c r="M87" s="10"/>
      <c r="N87" s="10"/>
      <c r="O87" s="10"/>
      <c r="P87" s="10"/>
      <c r="Q87" s="10"/>
      <c r="R87" s="10"/>
    </row>
    <row r="88" spans="1:18" x14ac:dyDescent="0.25">
      <c r="A88" s="6" t="s">
        <v>103</v>
      </c>
      <c r="B88" s="10" t="s">
        <v>107</v>
      </c>
      <c r="C88" s="10" t="s">
        <v>98</v>
      </c>
      <c r="D88" s="10" t="s">
        <v>99</v>
      </c>
      <c r="E88" s="10" t="s">
        <v>100</v>
      </c>
      <c r="F88" s="10" t="s">
        <v>101</v>
      </c>
      <c r="G88" s="10" t="s">
        <v>102</v>
      </c>
      <c r="H88" s="10" t="s">
        <v>83</v>
      </c>
      <c r="L88" s="10"/>
      <c r="M88" s="10"/>
      <c r="N88" s="10"/>
      <c r="O88" s="10"/>
      <c r="P88" s="10"/>
      <c r="Q88" s="10"/>
      <c r="R88" s="10"/>
    </row>
    <row r="89" spans="1:18" x14ac:dyDescent="0.25">
      <c r="B89" s="10">
        <f>SUM(B77:B87)</f>
        <v>7823.1584501332873</v>
      </c>
      <c r="C89" s="10">
        <f t="shared" ref="C89:G89" si="41">SUM(C77:C87)</f>
        <v>9600</v>
      </c>
      <c r="D89" s="10">
        <f>SUM(D77:D87)</f>
        <v>1776.8415498667146</v>
      </c>
      <c r="E89" s="10">
        <f t="shared" si="41"/>
        <v>6575.6171848360273</v>
      </c>
      <c r="F89" s="10">
        <f t="shared" si="41"/>
        <v>7786.4599481808254</v>
      </c>
      <c r="G89" s="10">
        <f t="shared" si="41"/>
        <v>1210.8427633447991</v>
      </c>
      <c r="H89" s="10">
        <f>G89/(1-(1/(1+$B$1))^(A87))</f>
        <v>3732.148693202299</v>
      </c>
      <c r="L89" s="10"/>
      <c r="M89" s="10"/>
      <c r="N89" s="10"/>
      <c r="O89" s="10"/>
      <c r="P89" s="10"/>
      <c r="Q89" s="10"/>
      <c r="R89" s="10"/>
    </row>
    <row r="90" spans="1:18" x14ac:dyDescent="0.25">
      <c r="B90" s="10" t="s">
        <v>104</v>
      </c>
      <c r="C90" s="10">
        <v>1610.3158450133287</v>
      </c>
      <c r="D90" s="10"/>
      <c r="E90" s="10"/>
      <c r="F90" s="10"/>
      <c r="G90" s="10"/>
      <c r="H90" s="10"/>
      <c r="L90" s="10"/>
      <c r="M90" s="10"/>
      <c r="N90" s="10"/>
      <c r="O90" s="10"/>
      <c r="P90" s="10"/>
      <c r="Q90" s="10"/>
      <c r="R90" s="10"/>
    </row>
    <row r="91" spans="1:18" x14ac:dyDescent="0.25">
      <c r="A91" s="6" t="s">
        <v>74</v>
      </c>
      <c r="B91" s="10"/>
      <c r="C91" s="10"/>
      <c r="D91" s="10"/>
      <c r="E91" s="10"/>
      <c r="F91" s="10"/>
      <c r="G91" s="10"/>
      <c r="H91" s="10"/>
      <c r="L91" s="10"/>
      <c r="M91" s="10"/>
      <c r="N91" s="10"/>
      <c r="O91" s="10"/>
      <c r="P91" s="10"/>
      <c r="Q91" s="10"/>
      <c r="R91" s="10"/>
    </row>
    <row r="92" spans="1:18" x14ac:dyDescent="0.25">
      <c r="A92" s="6" t="s">
        <v>78</v>
      </c>
      <c r="B92" s="10" t="s">
        <v>107</v>
      </c>
      <c r="C92" s="10" t="s">
        <v>98</v>
      </c>
      <c r="D92" s="10" t="s">
        <v>99</v>
      </c>
      <c r="E92" s="10" t="s">
        <v>100</v>
      </c>
      <c r="F92" s="10" t="s">
        <v>101</v>
      </c>
      <c r="G92" s="10" t="s">
        <v>102</v>
      </c>
      <c r="H92" s="10"/>
      <c r="L92" s="10"/>
      <c r="M92" s="10"/>
      <c r="N92" s="10"/>
      <c r="O92" s="10"/>
      <c r="P92" s="10"/>
      <c r="Q92" s="10"/>
      <c r="R92" s="10"/>
    </row>
    <row r="93" spans="1:18" x14ac:dyDescent="0.25">
      <c r="A93" s="6">
        <v>0</v>
      </c>
      <c r="B93" s="10">
        <v>1241.0517070707067</v>
      </c>
      <c r="C93" s="10">
        <v>0</v>
      </c>
      <c r="D93" s="10">
        <f>C93-B93</f>
        <v>-1241.0517070707067</v>
      </c>
      <c r="E93" s="10">
        <f>B93/(1+$B$1)^$A93</f>
        <v>1241.0517070707067</v>
      </c>
      <c r="F93" s="10">
        <f>C93/(1+$B$1)^$A93</f>
        <v>0</v>
      </c>
      <c r="G93" s="10">
        <f>F93-E93</f>
        <v>-1241.0517070707067</v>
      </c>
      <c r="H93" s="10"/>
      <c r="L93" s="10"/>
      <c r="M93" s="10"/>
      <c r="N93" s="10"/>
      <c r="O93" s="10"/>
      <c r="P93" s="10"/>
      <c r="Q93" s="10"/>
      <c r="R93" s="10"/>
    </row>
    <row r="94" spans="1:18" x14ac:dyDescent="0.25">
      <c r="A94" s="6">
        <v>1</v>
      </c>
      <c r="B94" s="10">
        <v>88.968222222222209</v>
      </c>
      <c r="C94" s="10">
        <v>0</v>
      </c>
      <c r="D94" s="10">
        <f>C94-B94</f>
        <v>-88.968222222222209</v>
      </c>
      <c r="E94" s="10">
        <f>B94/(1+$B$1)^$A94</f>
        <v>85.5463675213675</v>
      </c>
      <c r="F94" s="10">
        <f t="shared" ref="F94:F96" si="42">C94/(1+$B$1)^$A94</f>
        <v>0</v>
      </c>
      <c r="G94" s="10">
        <f>F94-E94</f>
        <v>-85.5463675213675</v>
      </c>
      <c r="H94" s="10"/>
      <c r="L94" s="10"/>
      <c r="M94" s="10"/>
      <c r="N94" s="10"/>
      <c r="O94" s="10"/>
      <c r="P94" s="10"/>
      <c r="Q94" s="10"/>
      <c r="R94" s="10"/>
    </row>
    <row r="95" spans="1:18" x14ac:dyDescent="0.25">
      <c r="A95" s="6">
        <v>2</v>
      </c>
      <c r="B95" s="10">
        <v>976.66324361628699</v>
      </c>
      <c r="C95" s="10">
        <f>Työkaluvälilehti!$B$12*(A95-A94)*Työkaluvälilehti!$B$4</f>
        <v>1200</v>
      </c>
      <c r="D95" s="10">
        <f t="shared" ref="D95:D96" si="43">C95-B95</f>
        <v>223.33675638371301</v>
      </c>
      <c r="E95" s="10">
        <f t="shared" ref="E95:F102" si="44">B95/(1+$B$1)^$A95</f>
        <v>902.98006991150783</v>
      </c>
      <c r="F95" s="10">
        <f t="shared" si="42"/>
        <v>1109.4674556213017</v>
      </c>
      <c r="G95" s="10">
        <f t="shared" ref="G95:G96" si="45">F95-E95</f>
        <v>206.4873857097939</v>
      </c>
      <c r="H95" s="10"/>
      <c r="L95" s="10"/>
      <c r="M95" s="10"/>
      <c r="N95" s="10"/>
      <c r="O95" s="10"/>
      <c r="P95" s="10"/>
      <c r="Q95" s="10"/>
      <c r="R95" s="10"/>
    </row>
    <row r="96" spans="1:18" x14ac:dyDescent="0.25">
      <c r="A96" s="6">
        <v>3</v>
      </c>
      <c r="B96" s="10">
        <v>976.66324361628699</v>
      </c>
      <c r="C96" s="10">
        <f>Työkaluvälilehti!$B$12*(A96-A95)*Työkaluvälilehti!$B$4</f>
        <v>1200</v>
      </c>
      <c r="D96" s="10">
        <f t="shared" si="43"/>
        <v>223.33675638371301</v>
      </c>
      <c r="E96" s="10">
        <f t="shared" si="44"/>
        <v>868.25006722260378</v>
      </c>
      <c r="F96" s="10">
        <f t="shared" si="42"/>
        <v>1066.7956304050979</v>
      </c>
      <c r="G96" s="10">
        <f t="shared" si="45"/>
        <v>198.54556318249411</v>
      </c>
      <c r="H96" s="10"/>
      <c r="L96" s="10"/>
      <c r="M96" s="10"/>
      <c r="N96" s="10"/>
      <c r="O96" s="10"/>
      <c r="P96" s="10"/>
      <c r="Q96" s="10"/>
      <c r="R96" s="10"/>
    </row>
    <row r="97" spans="1:18" x14ac:dyDescent="0.25">
      <c r="A97" s="6">
        <v>4</v>
      </c>
      <c r="B97" s="10">
        <v>976.66324361628699</v>
      </c>
      <c r="C97" s="10">
        <f>Työkaluvälilehti!$B$12*(A97-A96)*Työkaluvälilehti!$B$4</f>
        <v>1200</v>
      </c>
      <c r="D97" s="10">
        <f>C97-B97</f>
        <v>223.33675638371301</v>
      </c>
      <c r="E97" s="10">
        <f t="shared" si="44"/>
        <v>834.85583386788812</v>
      </c>
      <c r="F97" s="10">
        <f t="shared" si="44"/>
        <v>1025.7650292356709</v>
      </c>
      <c r="G97" s="10">
        <f>F97-E97</f>
        <v>190.90919536778279</v>
      </c>
      <c r="H97" s="10"/>
      <c r="L97" s="10"/>
      <c r="M97" s="10"/>
      <c r="N97" s="10"/>
      <c r="O97" s="10"/>
      <c r="P97" s="10"/>
      <c r="Q97" s="10"/>
      <c r="R97" s="10"/>
    </row>
    <row r="98" spans="1:18" x14ac:dyDescent="0.25">
      <c r="A98" s="6">
        <v>5</v>
      </c>
      <c r="B98" s="10">
        <v>976.66324361628699</v>
      </c>
      <c r="C98" s="10">
        <f>Työkaluvälilehti!$B$12*(A98-A97)*Työkaluvälilehti!$B$4</f>
        <v>1200</v>
      </c>
      <c r="D98" s="10">
        <f>C98-B98</f>
        <v>223.33675638371301</v>
      </c>
      <c r="E98" s="10">
        <f t="shared" si="44"/>
        <v>802.74599410373844</v>
      </c>
      <c r="F98" s="10">
        <f t="shared" si="44"/>
        <v>986.31252811122181</v>
      </c>
      <c r="G98" s="10">
        <f>F98-E98</f>
        <v>183.56653400748337</v>
      </c>
      <c r="H98" s="10"/>
      <c r="L98" s="10"/>
      <c r="M98" s="10"/>
      <c r="N98" s="10"/>
      <c r="O98" s="10"/>
      <c r="P98" s="10"/>
      <c r="Q98" s="10"/>
      <c r="R98" s="10"/>
    </row>
    <row r="99" spans="1:18" x14ac:dyDescent="0.25">
      <c r="A99" s="6">
        <v>6</v>
      </c>
      <c r="B99" s="10">
        <v>976.66324361628699</v>
      </c>
      <c r="C99" s="10">
        <f>Työkaluvälilehti!$B$12*(A99-A98)*Työkaluvälilehti!$B$4</f>
        <v>1200</v>
      </c>
      <c r="D99" s="10">
        <f>C99-B99</f>
        <v>223.33675638371301</v>
      </c>
      <c r="E99" s="10">
        <f t="shared" si="44"/>
        <v>771.87114817667157</v>
      </c>
      <c r="F99" s="10">
        <f t="shared" si="44"/>
        <v>948.3774308761748</v>
      </c>
      <c r="G99" s="10">
        <f>F99-E99</f>
        <v>176.50628269950323</v>
      </c>
      <c r="H99" s="10"/>
      <c r="L99" s="10"/>
      <c r="M99" s="10"/>
      <c r="N99" s="10"/>
      <c r="O99" s="10"/>
      <c r="P99" s="10"/>
      <c r="Q99" s="10"/>
      <c r="R99" s="10"/>
    </row>
    <row r="100" spans="1:18" x14ac:dyDescent="0.25">
      <c r="A100" s="6">
        <v>7</v>
      </c>
      <c r="B100" s="10">
        <v>976.66324361628699</v>
      </c>
      <c r="C100" s="10">
        <f>Työkaluvälilehti!$B$12*(A100-A99)*Työkaluvälilehti!$B$4</f>
        <v>1200</v>
      </c>
      <c r="D100" s="10">
        <f t="shared" ref="D100:D101" si="46">C100-B100</f>
        <v>223.33675638371301</v>
      </c>
      <c r="E100" s="10">
        <f>B100/(1+$B$1)^$A100</f>
        <v>742.18379632372273</v>
      </c>
      <c r="F100" s="10">
        <f t="shared" si="44"/>
        <v>911.90137584247589</v>
      </c>
      <c r="G100" s="10">
        <f>F100-E100</f>
        <v>169.71757951875315</v>
      </c>
      <c r="H100" s="10"/>
      <c r="L100" s="10"/>
      <c r="M100" s="10"/>
      <c r="N100" s="10"/>
      <c r="O100" s="10"/>
      <c r="P100" s="10"/>
      <c r="Q100" s="10"/>
      <c r="R100" s="10"/>
    </row>
    <row r="101" spans="1:18" x14ac:dyDescent="0.25">
      <c r="A101" s="6">
        <v>8</v>
      </c>
      <c r="B101" s="10">
        <v>976.66324361628699</v>
      </c>
      <c r="C101" s="10">
        <f>Työkaluvälilehti!$B$12*(A101-A100)*Työkaluvälilehti!$B$4</f>
        <v>1200</v>
      </c>
      <c r="D101" s="10">
        <f t="shared" si="46"/>
        <v>223.33675638371301</v>
      </c>
      <c r="E101" s="10">
        <f t="shared" ref="E101" si="47">B101/(1+$B$1)^$A101</f>
        <v>713.63826569588718</v>
      </c>
      <c r="F101" s="10">
        <f t="shared" si="44"/>
        <v>876.82824600238052</v>
      </c>
      <c r="G101" s="10">
        <f t="shared" ref="G101:G102" si="48">F101-E101</f>
        <v>163.18998030649334</v>
      </c>
      <c r="H101" s="10"/>
      <c r="L101" s="10"/>
      <c r="M101" s="10"/>
      <c r="N101" s="10"/>
      <c r="O101" s="10"/>
      <c r="P101" s="10"/>
      <c r="Q101" s="10"/>
      <c r="R101" s="10"/>
    </row>
    <row r="102" spans="1:18" x14ac:dyDescent="0.25">
      <c r="A102" s="6">
        <v>9</v>
      </c>
      <c r="B102" s="10">
        <v>976.66324361628699</v>
      </c>
      <c r="C102" s="10">
        <f>Työkaluvälilehti!$B$12*(A102-A101)*Työkaluvälilehti!$B$4</f>
        <v>1200</v>
      </c>
      <c r="D102" s="10">
        <f>C102-B102</f>
        <v>223.33675638371301</v>
      </c>
      <c r="E102" s="10">
        <f>B102/(1+$B$1)^$A102</f>
        <v>686.19064009219915</v>
      </c>
      <c r="F102" s="10">
        <f t="shared" si="44"/>
        <v>843.10408269459663</v>
      </c>
      <c r="G102" s="10">
        <f t="shared" si="48"/>
        <v>156.91344260239748</v>
      </c>
      <c r="H102" s="10"/>
      <c r="L102" s="10"/>
      <c r="M102" s="10"/>
      <c r="N102" s="10"/>
      <c r="O102" s="10"/>
      <c r="P102" s="10"/>
      <c r="Q102" s="10"/>
      <c r="R102" s="10"/>
    </row>
    <row r="103" spans="1:18" x14ac:dyDescent="0.25">
      <c r="A103" s="6">
        <v>10</v>
      </c>
      <c r="B103" s="10">
        <v>1007.0096002054343</v>
      </c>
      <c r="C103" s="10">
        <f>Työkaluvälilehti!$B$12*(A103-A102)*Työkaluvälilehti!$B$4</f>
        <v>1200</v>
      </c>
      <c r="D103" s="10">
        <f>C103-B103</f>
        <v>192.99039979456575</v>
      </c>
      <c r="E103" s="10">
        <f>B103/(1+$B$1)^$A103</f>
        <v>680.29960356238394</v>
      </c>
      <c r="F103" s="10">
        <f>C103/(1+$B$1)^$A103</f>
        <v>810.6770025909583</v>
      </c>
      <c r="G103" s="10">
        <f>F103-E103</f>
        <v>130.37739902857436</v>
      </c>
      <c r="H103" s="10"/>
      <c r="L103" s="10"/>
      <c r="M103" s="10"/>
      <c r="N103" s="10"/>
      <c r="O103" s="10"/>
      <c r="P103" s="10"/>
      <c r="Q103" s="10"/>
      <c r="R103" s="10"/>
    </row>
    <row r="104" spans="1:18" x14ac:dyDescent="0.25">
      <c r="A104" s="6" t="s">
        <v>103</v>
      </c>
      <c r="B104" s="10" t="s">
        <v>107</v>
      </c>
      <c r="C104" s="10" t="s">
        <v>98</v>
      </c>
      <c r="D104" s="10" t="s">
        <v>99</v>
      </c>
      <c r="E104" s="10" t="s">
        <v>100</v>
      </c>
      <c r="F104" s="10" t="s">
        <v>101</v>
      </c>
      <c r="G104" s="10" t="s">
        <v>102</v>
      </c>
      <c r="H104" s="10" t="s">
        <v>83</v>
      </c>
      <c r="L104" s="10"/>
      <c r="M104" s="10"/>
      <c r="N104" s="10"/>
      <c r="O104" s="10"/>
      <c r="P104" s="10"/>
      <c r="Q104" s="10"/>
      <c r="R104" s="10"/>
    </row>
    <row r="105" spans="1:18" x14ac:dyDescent="0.25">
      <c r="B105" s="10">
        <f>SUM(B93:B103)</f>
        <v>10150.33547842866</v>
      </c>
      <c r="C105" s="10">
        <f t="shared" ref="C105:G105" si="49">SUM(C93:C103)</f>
        <v>10800</v>
      </c>
      <c r="D105" s="10">
        <f t="shared" si="49"/>
        <v>649.66452157134086</v>
      </c>
      <c r="E105" s="10">
        <f t="shared" si="49"/>
        <v>8329.6134935486771</v>
      </c>
      <c r="F105" s="10">
        <f t="shared" si="49"/>
        <v>8579.2287813798794</v>
      </c>
      <c r="G105" s="10">
        <f t="shared" si="49"/>
        <v>249.6152878312015</v>
      </c>
      <c r="H105" s="10">
        <f>G105/(1-(1/(1+$B$1))^(A103))</f>
        <v>769.38261389869001</v>
      </c>
      <c r="L105" s="10"/>
      <c r="M105" s="10"/>
      <c r="N105" s="10"/>
      <c r="O105" s="10"/>
      <c r="P105" s="10"/>
      <c r="Q105" s="10"/>
      <c r="R105" s="10"/>
    </row>
    <row r="106" spans="1:18" x14ac:dyDescent="0.25">
      <c r="B106" s="10" t="s">
        <v>104</v>
      </c>
      <c r="C106" s="10">
        <v>1843.033547842866</v>
      </c>
      <c r="D106" s="10"/>
      <c r="E106" s="10"/>
      <c r="F106" s="10"/>
      <c r="G106" s="10"/>
      <c r="H106" s="10"/>
      <c r="L106" s="10"/>
      <c r="M106" s="10"/>
      <c r="N106" s="10"/>
      <c r="O106" s="10"/>
      <c r="P106" s="10"/>
      <c r="Q106" s="10"/>
      <c r="R106" s="10"/>
    </row>
    <row r="107" spans="1:18" x14ac:dyDescent="0.25">
      <c r="A107" s="6" t="s">
        <v>77</v>
      </c>
      <c r="B107" s="10"/>
      <c r="C107" s="10"/>
      <c r="D107" s="10"/>
      <c r="E107" s="10"/>
      <c r="F107" s="10"/>
      <c r="G107" s="10"/>
      <c r="H107" s="10"/>
      <c r="L107" s="10"/>
      <c r="M107" s="10"/>
      <c r="N107" s="10"/>
      <c r="O107" s="10"/>
      <c r="P107" s="10"/>
      <c r="Q107" s="10"/>
      <c r="R107" s="10"/>
    </row>
    <row r="108" spans="1:18" x14ac:dyDescent="0.25">
      <c r="A108" s="6" t="s">
        <v>78</v>
      </c>
      <c r="B108" s="10" t="s">
        <v>107</v>
      </c>
      <c r="C108" s="10" t="s">
        <v>98</v>
      </c>
      <c r="D108" s="10" t="s">
        <v>99</v>
      </c>
      <c r="E108" s="10" t="s">
        <v>100</v>
      </c>
      <c r="F108" s="10" t="s">
        <v>101</v>
      </c>
      <c r="G108" s="10" t="s">
        <v>102</v>
      </c>
      <c r="H108" s="10"/>
      <c r="L108" s="10"/>
      <c r="M108" s="10"/>
      <c r="N108" s="10"/>
      <c r="O108" s="10"/>
      <c r="P108" s="10"/>
      <c r="Q108" s="10"/>
      <c r="R108" s="10"/>
    </row>
    <row r="109" spans="1:18" x14ac:dyDescent="0.25">
      <c r="A109" s="6">
        <v>0</v>
      </c>
      <c r="B109" s="10">
        <v>1241.0517070707067</v>
      </c>
      <c r="C109" s="10">
        <v>0</v>
      </c>
      <c r="D109" s="10">
        <f>C109-B109</f>
        <v>-1241.0517070707067</v>
      </c>
      <c r="E109" s="10">
        <f>B109/(1+$B$1)^$A109</f>
        <v>1241.0517070707067</v>
      </c>
      <c r="F109" s="10">
        <f>C109/(1+$B$1)^$A109</f>
        <v>0</v>
      </c>
      <c r="G109" s="10">
        <f>F109-E109</f>
        <v>-1241.0517070707067</v>
      </c>
      <c r="H109" s="10"/>
      <c r="L109" s="10"/>
      <c r="M109" s="10"/>
      <c r="N109" s="10"/>
      <c r="O109" s="10"/>
      <c r="P109" s="10"/>
      <c r="Q109" s="10"/>
      <c r="R109" s="10"/>
    </row>
    <row r="110" spans="1:18" x14ac:dyDescent="0.25">
      <c r="A110" s="6">
        <v>1</v>
      </c>
      <c r="B110" s="10">
        <v>88.968222222222209</v>
      </c>
      <c r="C110" s="10">
        <v>0</v>
      </c>
      <c r="D110" s="10">
        <f>C110-B110</f>
        <v>-88.968222222222209</v>
      </c>
      <c r="E110" s="10">
        <f>B110/(1+$B$1)^$A110</f>
        <v>85.5463675213675</v>
      </c>
      <c r="F110" s="10">
        <f t="shared" ref="F110:F112" si="50">C110/(1+$B$1)^$A110</f>
        <v>0</v>
      </c>
      <c r="G110" s="10">
        <f>F110-E110</f>
        <v>-85.5463675213675</v>
      </c>
      <c r="H110" s="10"/>
      <c r="L110" s="10"/>
      <c r="M110" s="10"/>
      <c r="N110" s="10"/>
      <c r="O110" s="10"/>
      <c r="P110" s="10"/>
      <c r="Q110" s="10"/>
      <c r="R110" s="10"/>
    </row>
    <row r="111" spans="1:18" x14ac:dyDescent="0.25">
      <c r="A111" s="6">
        <v>2</v>
      </c>
      <c r="B111" s="10">
        <v>978.55909313833445</v>
      </c>
      <c r="C111" s="10">
        <f>Työkaluvälilehti!$B$12*(A111-A110)*Työkaluvälilehti!$B$5</f>
        <v>960</v>
      </c>
      <c r="D111" s="10">
        <f t="shared" ref="D111:D112" si="51">C111-B111</f>
        <v>-18.559093138334447</v>
      </c>
      <c r="E111" s="10">
        <f t="shared" ref="E111:F118" si="52">B111/(1+$B$1)^$A111</f>
        <v>904.73288936606355</v>
      </c>
      <c r="F111" s="10">
        <f t="shared" si="50"/>
        <v>887.57396449704129</v>
      </c>
      <c r="G111" s="10">
        <f t="shared" ref="G111:G112" si="53">F111-E111</f>
        <v>-17.158924869022258</v>
      </c>
      <c r="H111" s="10"/>
      <c r="L111" s="10"/>
      <c r="M111" s="10"/>
      <c r="N111" s="10"/>
      <c r="O111" s="10"/>
      <c r="P111" s="10"/>
      <c r="Q111" s="10"/>
      <c r="R111" s="10"/>
    </row>
    <row r="112" spans="1:18" x14ac:dyDescent="0.25">
      <c r="A112" s="6">
        <v>3</v>
      </c>
      <c r="B112" s="10">
        <v>978.55909313833445</v>
      </c>
      <c r="C112" s="10">
        <f>Työkaluvälilehti!$B$12*(A112-A111)*Työkaluvälilehti!$B$5</f>
        <v>960</v>
      </c>
      <c r="D112" s="10">
        <f t="shared" si="51"/>
        <v>-18.559093138334447</v>
      </c>
      <c r="E112" s="10">
        <f t="shared" si="52"/>
        <v>869.93547054429189</v>
      </c>
      <c r="F112" s="10">
        <f t="shared" si="50"/>
        <v>853.43650432407821</v>
      </c>
      <c r="G112" s="10">
        <f t="shared" si="53"/>
        <v>-16.498966220213674</v>
      </c>
      <c r="H112" s="10"/>
      <c r="L112" s="10"/>
      <c r="M112" s="10"/>
      <c r="N112" s="10"/>
      <c r="O112" s="10"/>
      <c r="P112" s="10"/>
      <c r="Q112" s="10"/>
      <c r="R112" s="10"/>
    </row>
    <row r="113" spans="1:18" x14ac:dyDescent="0.25">
      <c r="A113" s="6">
        <v>4</v>
      </c>
      <c r="B113" s="10">
        <v>978.55909313833445</v>
      </c>
      <c r="C113" s="10">
        <f>Työkaluvälilehti!$B$12*(A113-A112)*Työkaluvälilehti!$B$5</f>
        <v>960</v>
      </c>
      <c r="D113" s="10">
        <f>C113-B113</f>
        <v>-18.559093138334447</v>
      </c>
      <c r="E113" s="10">
        <f t="shared" si="52"/>
        <v>836.476413984896</v>
      </c>
      <c r="F113" s="10">
        <f t="shared" si="52"/>
        <v>820.61202338853661</v>
      </c>
      <c r="G113" s="10">
        <f>F113-E113</f>
        <v>-15.864390596359385</v>
      </c>
      <c r="H113" s="10"/>
      <c r="L113" s="10"/>
      <c r="M113" s="10"/>
      <c r="N113" s="10"/>
      <c r="O113" s="10"/>
      <c r="P113" s="10"/>
      <c r="Q113" s="10"/>
      <c r="R113" s="10"/>
    </row>
    <row r="114" spans="1:18" x14ac:dyDescent="0.25">
      <c r="A114" s="6">
        <v>5</v>
      </c>
      <c r="B114" s="10">
        <v>978.55909313833445</v>
      </c>
      <c r="C114" s="10">
        <f>Työkaluvälilehti!$B$12*(A114-A113)*Työkaluvälilehti!$B$5</f>
        <v>960</v>
      </c>
      <c r="D114" s="10">
        <f>C114-B114</f>
        <v>-18.559093138334447</v>
      </c>
      <c r="E114" s="10">
        <f t="shared" si="52"/>
        <v>804.30424421624605</v>
      </c>
      <c r="F114" s="10">
        <f t="shared" si="52"/>
        <v>789.05002248897745</v>
      </c>
      <c r="G114" s="10">
        <f>F114-E114</f>
        <v>-15.2542217272686</v>
      </c>
      <c r="H114" s="10"/>
      <c r="L114" s="10"/>
      <c r="M114" s="10"/>
      <c r="N114" s="10"/>
      <c r="O114" s="10"/>
      <c r="P114" s="10"/>
      <c r="Q114" s="10"/>
      <c r="R114" s="10"/>
    </row>
    <row r="115" spans="1:18" x14ac:dyDescent="0.25">
      <c r="A115" s="6">
        <v>6</v>
      </c>
      <c r="B115" s="10">
        <v>978.55909313833445</v>
      </c>
      <c r="C115" s="10">
        <f>Työkaluvälilehti!$B$12*(A115-A114)*Työkaluvälilehti!$B$5</f>
        <v>960</v>
      </c>
      <c r="D115" s="10">
        <f>C115-B115</f>
        <v>-18.559093138334447</v>
      </c>
      <c r="E115" s="10">
        <f t="shared" si="52"/>
        <v>773.36946559254432</v>
      </c>
      <c r="F115" s="10">
        <f t="shared" si="52"/>
        <v>758.70194470093986</v>
      </c>
      <c r="G115" s="10">
        <f>F115-E115</f>
        <v>-14.667520891604454</v>
      </c>
      <c r="H115" s="10"/>
      <c r="L115" s="10"/>
      <c r="M115" s="10"/>
      <c r="N115" s="10"/>
      <c r="O115" s="10"/>
      <c r="P115" s="10"/>
      <c r="Q115" s="10"/>
      <c r="R115" s="10"/>
    </row>
    <row r="116" spans="1:18" x14ac:dyDescent="0.25">
      <c r="A116" s="6">
        <v>7</v>
      </c>
      <c r="B116" s="10">
        <v>978.55909313833445</v>
      </c>
      <c r="C116" s="10">
        <f>Työkaluvälilehti!$B$12*(A116-A115)*Työkaluvälilehti!$B$5</f>
        <v>960</v>
      </c>
      <c r="D116" s="10">
        <f t="shared" ref="D116:D117" si="54">C116-B116</f>
        <v>-18.559093138334447</v>
      </c>
      <c r="E116" s="10">
        <f>B116/(1+$B$1)^$A116</f>
        <v>743.62448614667721</v>
      </c>
      <c r="F116" s="10">
        <f t="shared" si="52"/>
        <v>729.52110067398075</v>
      </c>
      <c r="G116" s="10">
        <f>F116-E116</f>
        <v>-14.103385472696459</v>
      </c>
      <c r="H116" s="10"/>
      <c r="L116" s="10"/>
      <c r="M116" s="10"/>
      <c r="N116" s="10"/>
      <c r="O116" s="10"/>
      <c r="P116" s="10"/>
      <c r="Q116" s="10"/>
      <c r="R116" s="10"/>
    </row>
    <row r="117" spans="1:18" x14ac:dyDescent="0.25">
      <c r="A117" s="6">
        <v>8</v>
      </c>
      <c r="B117" s="10">
        <v>978.55909313833445</v>
      </c>
      <c r="C117" s="10">
        <f>Työkaluvälilehti!$B$12*(A117-A116)*Työkaluvälilehti!$B$5</f>
        <v>960</v>
      </c>
      <c r="D117" s="10">
        <f t="shared" si="54"/>
        <v>-18.559093138334447</v>
      </c>
      <c r="E117" s="10">
        <f t="shared" ref="E117" si="55">B117/(1+$B$1)^$A117</f>
        <v>715.02354437180497</v>
      </c>
      <c r="F117" s="10">
        <f t="shared" si="52"/>
        <v>701.4625968019044</v>
      </c>
      <c r="G117" s="10">
        <f t="shared" ref="G117:G118" si="56">F117-E117</f>
        <v>-13.560947569900577</v>
      </c>
      <c r="H117" s="10"/>
      <c r="L117" s="10"/>
      <c r="M117" s="10"/>
      <c r="N117" s="10"/>
      <c r="O117" s="10"/>
      <c r="P117" s="10"/>
      <c r="Q117" s="10"/>
      <c r="R117" s="10"/>
    </row>
    <row r="118" spans="1:18" x14ac:dyDescent="0.25">
      <c r="A118" s="6">
        <v>9</v>
      </c>
      <c r="B118" s="10">
        <v>978.55909313833445</v>
      </c>
      <c r="C118" s="10">
        <f>Työkaluvälilehti!$B$12*(A118-A117)*Työkaluvälilehti!$B$5</f>
        <v>960</v>
      </c>
      <c r="D118" s="10">
        <f>C118-B118</f>
        <v>-18.559093138334447</v>
      </c>
      <c r="E118" s="10">
        <f>B118/(1+$B$1)^$A118</f>
        <v>687.5226388190431</v>
      </c>
      <c r="F118" s="10">
        <f t="shared" si="52"/>
        <v>674.48326615567726</v>
      </c>
      <c r="G118" s="10">
        <f t="shared" si="56"/>
        <v>-13.039372663365839</v>
      </c>
      <c r="H118" s="10"/>
      <c r="L118" s="10"/>
      <c r="M118" s="10"/>
      <c r="N118" s="10"/>
      <c r="O118" s="10"/>
      <c r="P118" s="10"/>
      <c r="Q118" s="10"/>
      <c r="R118" s="10"/>
    </row>
    <row r="119" spans="1:18" x14ac:dyDescent="0.25">
      <c r="A119" s="6">
        <v>10</v>
      </c>
      <c r="B119" s="10">
        <v>1008.9054497274817</v>
      </c>
      <c r="C119" s="10">
        <f>Työkaluvälilehti!$B$12*(A119-A118)*Työkaluvälilehti!$B$5</f>
        <v>960</v>
      </c>
      <c r="D119" s="10">
        <f>C119-B119</f>
        <v>-48.905449727481709</v>
      </c>
      <c r="E119" s="10">
        <f>B119/(1+$B$1)^$A119</f>
        <v>681.58037156896467</v>
      </c>
      <c r="F119" s="10">
        <f>C119/(1+$B$1)^$A119</f>
        <v>648.54160207276664</v>
      </c>
      <c r="G119" s="10">
        <f>F119-E119</f>
        <v>-33.038769496198029</v>
      </c>
      <c r="H119" s="10"/>
      <c r="L119" s="10"/>
      <c r="M119" s="10"/>
      <c r="N119" s="10"/>
      <c r="O119" s="10"/>
      <c r="P119" s="10"/>
      <c r="Q119" s="10"/>
      <c r="R119" s="10"/>
    </row>
    <row r="120" spans="1:18" x14ac:dyDescent="0.25">
      <c r="A120" s="6" t="s">
        <v>103</v>
      </c>
      <c r="B120" s="10" t="s">
        <v>107</v>
      </c>
      <c r="C120" s="10" t="s">
        <v>98</v>
      </c>
      <c r="D120" s="10" t="s">
        <v>99</v>
      </c>
      <c r="E120" s="10" t="s">
        <v>100</v>
      </c>
      <c r="F120" s="10" t="s">
        <v>101</v>
      </c>
      <c r="G120" s="10" t="s">
        <v>102</v>
      </c>
      <c r="H120" s="10" t="s">
        <v>83</v>
      </c>
      <c r="L120" s="10"/>
      <c r="M120" s="10"/>
      <c r="N120" s="10"/>
      <c r="O120" s="10"/>
      <c r="P120" s="10"/>
      <c r="Q120" s="10"/>
      <c r="R120" s="10"/>
    </row>
    <row r="121" spans="1:18" x14ac:dyDescent="0.25">
      <c r="B121" s="10">
        <f>SUM(B109:B119)</f>
        <v>10167.398124127083</v>
      </c>
      <c r="C121" s="10">
        <f t="shared" ref="C121:G121" si="57">SUM(C109:C119)</f>
        <v>8640</v>
      </c>
      <c r="D121" s="10">
        <f t="shared" si="57"/>
        <v>-1527.3981241270862</v>
      </c>
      <c r="E121" s="10">
        <f t="shared" si="57"/>
        <v>8343.1675992026067</v>
      </c>
      <c r="F121" s="10">
        <f t="shared" si="57"/>
        <v>6863.3830251039035</v>
      </c>
      <c r="G121" s="10">
        <f t="shared" si="57"/>
        <v>-1479.7845740987036</v>
      </c>
      <c r="H121" s="10">
        <f>G121/(1-(1/(1+$B$1))^(A119))</f>
        <v>-4561.1009386449414</v>
      </c>
      <c r="L121" s="10"/>
      <c r="M121" s="10"/>
      <c r="N121" s="10"/>
      <c r="O121" s="10"/>
      <c r="P121" s="10"/>
      <c r="Q121" s="10"/>
      <c r="R121" s="10"/>
    </row>
    <row r="122" spans="1:18" x14ac:dyDescent="0.25">
      <c r="B122" s="10" t="s">
        <v>104</v>
      </c>
      <c r="C122" s="10">
        <v>1844.739812412708</v>
      </c>
      <c r="D122" s="10"/>
      <c r="E122" s="10"/>
      <c r="F122" s="10"/>
      <c r="G122" s="10"/>
      <c r="H122" s="10"/>
      <c r="L122" s="10"/>
      <c r="M122" s="10"/>
      <c r="N122" s="10"/>
      <c r="O122" s="10"/>
      <c r="P122" s="10"/>
      <c r="Q122" s="10"/>
      <c r="R122" s="10"/>
    </row>
    <row r="123" spans="1:18" x14ac:dyDescent="0.25">
      <c r="A123" s="6" t="s">
        <v>11</v>
      </c>
      <c r="B123" s="10"/>
      <c r="C123" s="10"/>
      <c r="D123" s="10"/>
      <c r="E123" s="10"/>
      <c r="F123" s="10"/>
      <c r="G123" s="10"/>
      <c r="H123" s="10"/>
      <c r="L123" s="10"/>
      <c r="M123" s="10"/>
      <c r="N123" s="10"/>
      <c r="O123" s="10"/>
      <c r="P123" s="10"/>
      <c r="Q123" s="10"/>
      <c r="R123" s="10"/>
    </row>
    <row r="124" spans="1:18" x14ac:dyDescent="0.25">
      <c r="A124" s="6" t="s">
        <v>78</v>
      </c>
      <c r="B124" s="10" t="s">
        <v>107</v>
      </c>
      <c r="C124" s="10" t="s">
        <v>98</v>
      </c>
      <c r="D124" s="10" t="s">
        <v>99</v>
      </c>
      <c r="E124" s="10" t="s">
        <v>100</v>
      </c>
      <c r="F124" s="10" t="s">
        <v>101</v>
      </c>
      <c r="G124" s="10" t="s">
        <v>102</v>
      </c>
      <c r="H124" s="10"/>
      <c r="L124" s="10"/>
      <c r="M124" s="10"/>
      <c r="N124" s="10"/>
      <c r="O124" s="10"/>
      <c r="P124" s="10"/>
      <c r="Q124" s="10"/>
      <c r="R124" s="10"/>
    </row>
    <row r="125" spans="1:18" x14ac:dyDescent="0.25">
      <c r="A125" s="6">
        <v>0</v>
      </c>
      <c r="B125" s="10">
        <v>964.17833333333328</v>
      </c>
      <c r="C125" s="10">
        <v>0</v>
      </c>
      <c r="D125" s="10">
        <f>C125-B125</f>
        <v>-964.17833333333328</v>
      </c>
      <c r="E125" s="10">
        <f>B125/(1+$B$1)^$A125</f>
        <v>964.17833333333328</v>
      </c>
      <c r="F125" s="10">
        <f>C125/(1+$B$1)^$A125</f>
        <v>0</v>
      </c>
      <c r="G125" s="10">
        <f>F125-E125</f>
        <v>-964.17833333333328</v>
      </c>
      <c r="H125" s="10"/>
      <c r="L125" s="10"/>
      <c r="M125" s="10"/>
      <c r="N125" s="10"/>
      <c r="O125" s="10"/>
      <c r="P125" s="10"/>
      <c r="Q125" s="10"/>
      <c r="R125" s="10"/>
    </row>
    <row r="126" spans="1:18" x14ac:dyDescent="0.25">
      <c r="A126" s="6">
        <v>1</v>
      </c>
      <c r="B126" s="10">
        <v>685.90959595959589</v>
      </c>
      <c r="C126" s="10">
        <v>0</v>
      </c>
      <c r="D126" s="10">
        <f>C126-B126</f>
        <v>-685.90959595959589</v>
      </c>
      <c r="E126" s="10">
        <f>B126/(1+$B$1)^$A126</f>
        <v>659.52845765345751</v>
      </c>
      <c r="F126" s="10">
        <f t="shared" ref="F126:F128" si="58">C126/(1+$B$1)^$A126</f>
        <v>0</v>
      </c>
      <c r="G126" s="10">
        <f>F126-E126</f>
        <v>-659.52845765345751</v>
      </c>
      <c r="H126" s="10"/>
      <c r="L126" s="10"/>
      <c r="M126" s="10"/>
      <c r="N126" s="10"/>
      <c r="O126" s="10"/>
      <c r="P126" s="10"/>
      <c r="Q126" s="10"/>
      <c r="R126" s="10"/>
    </row>
    <row r="127" spans="1:18" x14ac:dyDescent="0.25">
      <c r="A127" s="6">
        <v>2</v>
      </c>
      <c r="B127" s="10">
        <v>1276.4018032045042</v>
      </c>
      <c r="C127" s="10">
        <f>Työkaluvälilehti!$B$13*(A127-A126)*Työkaluvälilehti!$B$6</f>
        <v>1500</v>
      </c>
      <c r="D127" s="10">
        <f t="shared" ref="D127:D128" si="59">C127-B127</f>
        <v>223.59819679549582</v>
      </c>
      <c r="E127" s="10">
        <f>B127/(1+$B$1)^$A127</f>
        <v>1180.1052174597855</v>
      </c>
      <c r="F127" s="10">
        <f>C127/(1+$B$1)^$A127</f>
        <v>1386.834319526627</v>
      </c>
      <c r="G127" s="10">
        <f>F127-E127</f>
        <v>206.72910206684151</v>
      </c>
      <c r="H127" s="10"/>
      <c r="L127" s="10"/>
      <c r="M127" s="10"/>
      <c r="N127" s="10"/>
      <c r="O127" s="10"/>
      <c r="P127" s="10"/>
      <c r="Q127" s="10"/>
      <c r="R127" s="10"/>
    </row>
    <row r="128" spans="1:18" x14ac:dyDescent="0.25">
      <c r="A128" s="6">
        <v>3</v>
      </c>
      <c r="B128" s="10">
        <v>1276.4018032045042</v>
      </c>
      <c r="C128" s="10">
        <f>Työkaluvälilehti!$B$13*(A128-A127)*Työkaluvälilehti!$B$6</f>
        <v>1500</v>
      </c>
      <c r="D128" s="10">
        <f t="shared" si="59"/>
        <v>223.59819679549582</v>
      </c>
      <c r="E128" s="10">
        <f t="shared" ref="E128:F133" si="60">B128/(1+$B$1)^$A128</f>
        <v>1134.7165552497938</v>
      </c>
      <c r="F128" s="10">
        <f t="shared" si="58"/>
        <v>1333.4945380063723</v>
      </c>
      <c r="G128" s="10">
        <f t="shared" ref="G128" si="61">F128-E128</f>
        <v>198.77798275657847</v>
      </c>
      <c r="H128" s="10"/>
      <c r="L128" s="10"/>
      <c r="M128" s="10"/>
      <c r="N128" s="10"/>
      <c r="O128" s="10"/>
      <c r="P128" s="10"/>
      <c r="Q128" s="10"/>
      <c r="R128" s="10"/>
    </row>
    <row r="129" spans="1:18" x14ac:dyDescent="0.25">
      <c r="A129" s="6">
        <v>4</v>
      </c>
      <c r="B129" s="10">
        <v>1276.4018032045042</v>
      </c>
      <c r="C129" s="10">
        <f>Työkaluvälilehti!$B$13*(A129-A128)*Työkaluvälilehti!$B$6</f>
        <v>1500</v>
      </c>
      <c r="D129" s="10">
        <f>C129-B129</f>
        <v>223.59819679549582</v>
      </c>
      <c r="E129" s="10">
        <f t="shared" si="60"/>
        <v>1091.0736108171093</v>
      </c>
      <c r="F129" s="10">
        <f t="shared" si="60"/>
        <v>1282.2062865445885</v>
      </c>
      <c r="G129" s="10">
        <f>F129-E129</f>
        <v>191.13267572747918</v>
      </c>
      <c r="H129" s="10"/>
      <c r="L129" s="10"/>
      <c r="M129" s="10"/>
      <c r="N129" s="10"/>
      <c r="O129" s="10"/>
      <c r="P129" s="10"/>
      <c r="Q129" s="10"/>
      <c r="R129" s="10"/>
    </row>
    <row r="130" spans="1:18" x14ac:dyDescent="0.25">
      <c r="A130" s="6">
        <v>5</v>
      </c>
      <c r="B130" s="10">
        <v>1802.0945163827987</v>
      </c>
      <c r="C130" s="10">
        <f>Työkaluvälilehti!$B$13*(A130-A129)*Työkaluvälilehti!$B$6</f>
        <v>1500</v>
      </c>
      <c r="D130" s="10">
        <f>C130-B130</f>
        <v>-302.0945163827987</v>
      </c>
      <c r="E130" s="10">
        <f t="shared" si="60"/>
        <v>1481.1903319574067</v>
      </c>
      <c r="F130" s="10">
        <f t="shared" si="60"/>
        <v>1232.8906601390272</v>
      </c>
      <c r="G130" s="10">
        <f>F130-E130</f>
        <v>-248.29967181837947</v>
      </c>
      <c r="H130" s="10"/>
      <c r="L130" s="10"/>
      <c r="M130" s="10"/>
      <c r="N130" s="10"/>
      <c r="O130" s="10"/>
      <c r="P130" s="10"/>
      <c r="Q130" s="10"/>
      <c r="R130" s="10"/>
    </row>
    <row r="131" spans="1:18" x14ac:dyDescent="0.25">
      <c r="A131" s="6">
        <v>6</v>
      </c>
      <c r="B131" s="10">
        <v>1276.4018032045042</v>
      </c>
      <c r="C131" s="10">
        <f>Työkaluvälilehti!$B$13*(A131-A130)*Työkaluvälilehti!$B$6</f>
        <v>1500</v>
      </c>
      <c r="D131" s="10">
        <f>C131-B131</f>
        <v>223.59819679549582</v>
      </c>
      <c r="E131" s="10">
        <f t="shared" si="60"/>
        <v>1008.7588857406705</v>
      </c>
      <c r="F131" s="10">
        <f t="shared" si="60"/>
        <v>1185.4717885952186</v>
      </c>
      <c r="G131" s="10">
        <f>F131-E131</f>
        <v>176.71290285454813</v>
      </c>
      <c r="H131" s="10"/>
      <c r="L131" s="10"/>
      <c r="M131" s="10"/>
      <c r="N131" s="10"/>
      <c r="O131" s="10"/>
      <c r="P131" s="10"/>
      <c r="Q131" s="10"/>
      <c r="R131" s="10"/>
    </row>
    <row r="132" spans="1:18" x14ac:dyDescent="0.25">
      <c r="A132" s="6">
        <v>7</v>
      </c>
      <c r="B132" s="10">
        <v>1276.4018032045042</v>
      </c>
      <c r="C132" s="10">
        <f>Työkaluvälilehti!$B$13*(A132-A131)*Työkaluvälilehti!$B$6</f>
        <v>1500</v>
      </c>
      <c r="D132" s="10">
        <f t="shared" ref="D132:D133" si="62">C132-B132</f>
        <v>223.59819679549582</v>
      </c>
      <c r="E132" s="10">
        <f t="shared" si="60"/>
        <v>969.96046705833714</v>
      </c>
      <c r="F132" s="10">
        <f t="shared" si="60"/>
        <v>1139.8767198030948</v>
      </c>
      <c r="G132" s="10">
        <f>F132-E132</f>
        <v>169.91625274475768</v>
      </c>
      <c r="H132" s="10"/>
      <c r="L132" s="10"/>
      <c r="M132" s="10"/>
      <c r="N132" s="10"/>
      <c r="O132" s="10"/>
      <c r="P132" s="10"/>
      <c r="Q132" s="10"/>
      <c r="R132" s="10"/>
    </row>
    <row r="133" spans="1:18" x14ac:dyDescent="0.25">
      <c r="A133" s="6">
        <v>8</v>
      </c>
      <c r="B133" s="10">
        <v>1276.4018032045042</v>
      </c>
      <c r="C133" s="10">
        <f>Työkaluvälilehti!$B$13*(A133-A132)*Työkaluvälilehti!$B$6</f>
        <v>1500</v>
      </c>
      <c r="D133" s="10">
        <f t="shared" si="62"/>
        <v>223.59819679549582</v>
      </c>
      <c r="E133" s="10">
        <f t="shared" si="60"/>
        <v>932.6542952484009</v>
      </c>
      <c r="F133" s="10">
        <f>C133/(1+$B$1)^$A133</f>
        <v>1096.0353075029757</v>
      </c>
      <c r="G133" s="10">
        <f t="shared" ref="G133:G134" si="63">F133-E133</f>
        <v>163.38101225457478</v>
      </c>
      <c r="H133" s="10"/>
      <c r="L133" s="10"/>
      <c r="M133" s="10"/>
      <c r="N133" s="10"/>
      <c r="O133" s="10"/>
      <c r="P133" s="10"/>
      <c r="Q133" s="10"/>
      <c r="R133" s="10"/>
    </row>
    <row r="134" spans="1:18" x14ac:dyDescent="0.25">
      <c r="A134" s="6">
        <v>9</v>
      </c>
      <c r="B134" s="10">
        <v>1276.4018032045042</v>
      </c>
      <c r="C134" s="10">
        <f>Työkaluvälilehti!$B$13*(A134-A133)*Työkaluvälilehti!$B$6</f>
        <v>1500</v>
      </c>
      <c r="D134" s="10">
        <f>C134-B134</f>
        <v>223.59819679549582</v>
      </c>
      <c r="E134" s="10">
        <f>B134/(1+$B$1)^$A134</f>
        <v>896.78297620038541</v>
      </c>
      <c r="F134" s="10">
        <f>C134/(1+$B$1)^$A134</f>
        <v>1053.8801033682457</v>
      </c>
      <c r="G134" s="10">
        <f t="shared" si="63"/>
        <v>157.09712716786032</v>
      </c>
      <c r="H134" s="10"/>
      <c r="L134" s="10"/>
      <c r="M134" s="10"/>
      <c r="N134" s="10"/>
      <c r="O134" s="10"/>
      <c r="P134" s="10"/>
      <c r="Q134" s="10"/>
      <c r="R134" s="10"/>
    </row>
    <row r="135" spans="1:18" x14ac:dyDescent="0.25">
      <c r="A135" s="6">
        <v>10</v>
      </c>
      <c r="B135" s="10">
        <v>651.18492042320304</v>
      </c>
      <c r="C135" s="10">
        <f>Työkaluvälilehti!$B$13*(A135-A134)*Työkaluvälilehti!$B$6</f>
        <v>1500</v>
      </c>
      <c r="D135" s="10">
        <f>C135-B135</f>
        <v>848.81507957679696</v>
      </c>
      <c r="E135" s="10">
        <f>B135/(1+$B$1)^$A135</f>
        <v>439.91719951759495</v>
      </c>
      <c r="F135" s="10">
        <f>C135/(1+$B$1)^$A135</f>
        <v>1013.3462532386978</v>
      </c>
      <c r="G135" s="10">
        <f>F135-E135</f>
        <v>573.42905372110295</v>
      </c>
      <c r="H135" s="10"/>
      <c r="L135" s="10"/>
      <c r="M135" s="10"/>
      <c r="N135" s="10"/>
      <c r="O135" s="10"/>
      <c r="P135" s="10"/>
      <c r="Q135" s="10"/>
      <c r="R135" s="10"/>
    </row>
    <row r="136" spans="1:18" x14ac:dyDescent="0.25">
      <c r="A136" s="6" t="s">
        <v>103</v>
      </c>
      <c r="B136" s="10" t="s">
        <v>107</v>
      </c>
      <c r="C136" s="10" t="s">
        <v>98</v>
      </c>
      <c r="D136" s="10" t="s">
        <v>99</v>
      </c>
      <c r="E136" s="10" t="s">
        <v>100</v>
      </c>
      <c r="F136" s="10" t="s">
        <v>101</v>
      </c>
      <c r="G136" s="10" t="s">
        <v>102</v>
      </c>
      <c r="H136" s="10" t="s">
        <v>83</v>
      </c>
      <c r="L136" s="10"/>
      <c r="M136" s="10"/>
      <c r="N136" s="10"/>
      <c r="O136" s="10"/>
      <c r="P136" s="10"/>
      <c r="Q136" s="10"/>
      <c r="R136" s="10"/>
    </row>
    <row r="137" spans="1:18" x14ac:dyDescent="0.25">
      <c r="B137" s="10">
        <f>SUM(B125:B135)</f>
        <v>13038.179988530461</v>
      </c>
      <c r="C137" s="10">
        <f t="shared" ref="C137:F137" si="64">SUM(C125:C135)</f>
        <v>13500</v>
      </c>
      <c r="D137" s="10">
        <f t="shared" si="64"/>
        <v>461.82001146953985</v>
      </c>
      <c r="E137" s="10">
        <f t="shared" si="64"/>
        <v>10758.866330236277</v>
      </c>
      <c r="F137" s="10">
        <f t="shared" si="64"/>
        <v>10724.035976724848</v>
      </c>
      <c r="G137" s="10">
        <f>SUM(G125:G135)</f>
        <v>-34.830353511427347</v>
      </c>
      <c r="H137" s="10">
        <f>G137/(1-(1/(1+$B$1))^(A135))</f>
        <v>-107.35667939440887</v>
      </c>
      <c r="L137" s="10"/>
      <c r="M137" s="10"/>
      <c r="N137" s="10"/>
      <c r="O137" s="10"/>
      <c r="P137" s="10"/>
      <c r="Q137" s="10"/>
      <c r="R137" s="10"/>
    </row>
  </sheetData>
  <sheetProtection selectLockedCells="1" selectUnlockedCells="1"/>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2B9CE45D3F8093458218BCFC035F4509" ma:contentTypeVersion="5" ma:contentTypeDescription="Create a new document." ma:contentTypeScope="" ma:versionID="dd04cd45f090f33cdf23ade091e1eb7e">
  <xsd:schema xmlns:xsd="http://www.w3.org/2001/XMLSchema" xmlns:xs="http://www.w3.org/2001/XMLSchema" xmlns:p="http://schemas.microsoft.com/office/2006/metadata/properties" xmlns:ns2="b16f901c-1ec3-44f9-beff-c2a51b0f2f12" targetNamespace="http://schemas.microsoft.com/office/2006/metadata/properties" ma:root="true" ma:fieldsID="74bcea6c7b363a02a05e2c562ce9f2b2" ns2:_="">
    <xsd:import namespace="b16f901c-1ec3-44f9-beff-c2a51b0f2f12"/>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16f901c-1ec3-44f9-beff-c2a51b0f2f1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5"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03232AA-B06E-41B3-A2EF-5AE3DCCCFD1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16f901c-1ec3-44f9-beff-c2a51b0f2f1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F26E372E-4A89-4C97-BAB2-25C2263EE8EB}">
  <ds:schemaRefs>
    <ds:schemaRef ds:uri="http://purl.org/dc/dcmitype/"/>
    <ds:schemaRef ds:uri="http://schemas.microsoft.com/office/2006/documentManagement/types"/>
    <ds:schemaRef ds:uri="http://www.w3.org/XML/1998/namespace"/>
    <ds:schemaRef ds:uri="http://schemas.microsoft.com/office/infopath/2007/PartnerControls"/>
    <ds:schemaRef ds:uri="http://schemas.openxmlformats.org/package/2006/metadata/core-properties"/>
    <ds:schemaRef ds:uri="http://purl.org/dc/terms/"/>
    <ds:schemaRef ds:uri="http://purl.org/dc/elements/1.1/"/>
    <ds:schemaRef ds:uri="b16f901c-1ec3-44f9-beff-c2a51b0f2f12"/>
    <ds:schemaRef ds:uri="http://schemas.microsoft.com/office/2006/metadata/properties"/>
  </ds:schemaRefs>
</ds:datastoreItem>
</file>

<file path=customXml/itemProps3.xml><?xml version="1.0" encoding="utf-8"?>
<ds:datastoreItem xmlns:ds="http://schemas.openxmlformats.org/officeDocument/2006/customXml" ds:itemID="{45DE5C83-30AF-45B6-B2BC-F4C9DA364A25}">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Laskentataulukot</vt:lpstr>
      </vt:variant>
      <vt:variant>
        <vt:i4>14</vt:i4>
      </vt:variant>
      <vt:variant>
        <vt:lpstr>Nimetyt alueet</vt:lpstr>
      </vt:variant>
      <vt:variant>
        <vt:i4>1</vt:i4>
      </vt:variant>
    </vt:vector>
  </HeadingPairs>
  <TitlesOfParts>
    <vt:vector size="15" baseType="lpstr">
      <vt:lpstr>Laskuri</vt:lpstr>
      <vt:lpstr>Tuotantoketjut</vt:lpstr>
      <vt:lpstr>Työkaluvälilehti</vt:lpstr>
      <vt:lpstr>Aurinkovoima ja vettäminen</vt:lpstr>
      <vt:lpstr>8 % korko</vt:lpstr>
      <vt:lpstr>7 % korko</vt:lpstr>
      <vt:lpstr>6 % korko</vt:lpstr>
      <vt:lpstr>5 % korko</vt:lpstr>
      <vt:lpstr>4 % korko</vt:lpstr>
      <vt:lpstr>3 % korko</vt:lpstr>
      <vt:lpstr>2 % korko</vt:lpstr>
      <vt:lpstr>1 % korko</vt:lpstr>
      <vt:lpstr>0 % korko</vt:lpstr>
      <vt:lpstr>Hieskoivun laskelmat</vt:lpstr>
      <vt:lpstr>Laskuri!Tulostusalue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Wejberg Henrik (LUKE)</dc:creator>
  <cp:keywords/>
  <dc:description/>
  <cp:lastModifiedBy>Jylhä Paula (LUKE)</cp:lastModifiedBy>
  <cp:revision/>
  <dcterms:created xsi:type="dcterms:W3CDTF">2025-03-06T08:11:09Z</dcterms:created>
  <dcterms:modified xsi:type="dcterms:W3CDTF">2026-05-06T09:01:25Z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0x0101002B9CE45D3F8093458218BCFC035F4509</vt:lpwstr>
  </property>
  <property fmtid="{D5CDD505-2E9C-101B-9397-08002B2CF9AE}" pid="3" name="MediaServiceImageTags">
    <vt:lpwstr/>
  </property>
</Properties>
</file>