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3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5.xml" ContentType="application/vnd.ms-office.activeX+xml"/>
  <Override PartName="/xl/activeX/activeX6.xml" ContentType="application/vnd.ms-office.activeX+xml"/>
  <Override PartName="/xl/activeX/activeX7.xml" ContentType="application/vnd.ms-office.activeX+xml"/>
  <Override PartName="/xl/activeX/activeX8.xml" ContentType="application/vnd.ms-office.activeX+xml"/>
  <Override PartName="/xl/activeX/activeX9.xml" ContentType="application/vnd.ms-office.activeX+xml"/>
  <Override PartName="/xl/activeX/activeX10.xml" ContentType="application/vnd.ms-office.activeX+xml"/>
  <Override PartName="/xl/activeX/activeX11.xml" ContentType="application/vnd.ms-office.activeX+xml"/>
  <Override PartName="/xl/activeX/activeX12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activeX/activeX15.xml" ContentType="application/vnd.ms-office.activeX+xml"/>
  <Override PartName="/xl/activeX/activeX16.xml" ContentType="application/vnd.ms-office.activeX+xml"/>
  <Override PartName="/xl/activeX/activeX17.xml" ContentType="application/vnd.ms-office.activeX+xml"/>
  <Override PartName="/xl/activeX/activeX18.xml" ContentType="application/vnd.ms-office.activeX+xml"/>
  <Override PartName="/xl/activeX/activeX19.xml" ContentType="application/vnd.ms-office.activeX+xml"/>
  <Override PartName="/xl/activeX/activeX20.xml" ContentType="application/vnd.ms-office.activeX+xml"/>
  <Override PartName="/xl/activeX/activeX21.xml" ContentType="application/vnd.ms-office.activeX+xml"/>
  <Override PartName="/xl/activeX/activeX22.xml" ContentType="application/vnd.ms-office.activeX+xml"/>
  <Override PartName="/xl/activeX/activeX23.xml" ContentType="application/vnd.ms-office.activeX+xml"/>
  <Override PartName="/xl/activeX/activeX24.xml" ContentType="application/vnd.ms-office.activeX+xml"/>
  <Override PartName="/xl/activeX/activeX25.xml" ContentType="application/vnd.ms-office.activeX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xl/python.xml" ContentType="application/vnd.ms-excel.pyth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ukefinland-my.sharepoint.com/personal/ville_pyykkonen_luke_fi/Documents/2026/Biokaasulaskuri Exceliin 2026/"/>
    </mc:Choice>
  </mc:AlternateContent>
  <xr:revisionPtr revIDLastSave="27" documentId="8_{812CCBF3-C732-4076-86AF-C36D44A9AB93}" xr6:coauthVersionLast="47" xr6:coauthVersionMax="47" xr10:uidLastSave="{06829053-FB15-4F14-9EBF-04EC934DAF72}"/>
  <bookViews>
    <workbookView xWindow="-108" yWindow="-108" windowWidth="23256" windowHeight="12456" activeTab="2" xr2:uid="{3F10E52D-B706-41A1-A19E-A63F12D50C6F}"/>
  </bookViews>
  <sheets>
    <sheet name="OHJE" sheetId="27" r:id="rId1"/>
    <sheet name="1. Syötteet" sheetId="2" r:id="rId2"/>
    <sheet name="2. Laitostyyppi" sheetId="4" r:id="rId3"/>
    <sheet name="3. Tekniikka" sheetId="7" r:id="rId4"/>
    <sheet name="4. Energia" sheetId="9" r:id="rId5"/>
    <sheet name="5. Ravinteet" sheetId="14" r:id="rId6"/>
    <sheet name="6. Investoinnit" sheetId="15" r:id="rId7"/>
    <sheet name="7. Tuotot ja kulut" sheetId="16" r:id="rId8"/>
    <sheet name="8. Kannattavuus" sheetId="23" r:id="rId9"/>
    <sheet name="9. Yhteenveto" sheetId="2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8" i="20" l="1"/>
  <c r="C69" i="20"/>
  <c r="C70" i="20"/>
  <c r="C71" i="20"/>
  <c r="C72" i="20"/>
  <c r="C73" i="20"/>
  <c r="C74" i="20"/>
  <c r="C75" i="20"/>
  <c r="C95" i="20"/>
  <c r="C96" i="20"/>
  <c r="C97" i="20"/>
  <c r="C98" i="20"/>
  <c r="C99" i="20"/>
  <c r="C100" i="20"/>
  <c r="C101" i="20"/>
  <c r="C94" i="20"/>
  <c r="C90" i="20"/>
  <c r="C91" i="20"/>
  <c r="C92" i="20"/>
  <c r="C89" i="20"/>
  <c r="C84" i="20"/>
  <c r="C85" i="20"/>
  <c r="C86" i="20"/>
  <c r="C87" i="20"/>
  <c r="C83" i="20"/>
  <c r="F42" i="15"/>
  <c r="D42" i="15" s="1"/>
  <c r="G42" i="15" s="1"/>
  <c r="B111" i="9"/>
  <c r="C30" i="14" a="1"/>
  <c r="C30" i="14" s="1"/>
  <c r="C40" i="14" s="1"/>
  <c r="C31" i="14" a="1"/>
  <c r="C31" i="14" s="1"/>
  <c r="C41" i="14" s="1"/>
  <c r="C32" i="14" a="1"/>
  <c r="C32" i="14" s="1"/>
  <c r="C42" i="14" s="1"/>
  <c r="C33" i="14" a="1"/>
  <c r="C33" i="14" s="1"/>
  <c r="C43" i="14" s="1"/>
  <c r="C34" i="14" a="1"/>
  <c r="C34" i="14" s="1"/>
  <c r="C44" i="14" s="1"/>
  <c r="C35" i="14" a="1"/>
  <c r="C35" i="14" s="1"/>
  <c r="C45" i="14" s="1"/>
  <c r="C29" i="14" a="1"/>
  <c r="C29" i="14" s="1"/>
  <c r="C10" i="16"/>
  <c r="G10" i="16" s="1"/>
  <c r="D70" i="20" s="1"/>
  <c r="I36" i="15"/>
  <c r="H38" i="9"/>
  <c r="D104" i="20"/>
  <c r="C67" i="20"/>
  <c r="B129" i="9"/>
  <c r="B130" i="9"/>
  <c r="B141" i="9"/>
  <c r="F40" i="2"/>
  <c r="F38" i="2"/>
  <c r="F37" i="2"/>
  <c r="F20" i="2"/>
  <c r="F18" i="2"/>
  <c r="F11" i="2"/>
  <c r="Q11" i="2"/>
  <c r="D11" i="20"/>
  <c r="C35" i="16"/>
  <c r="H42" i="15" l="1"/>
  <c r="C39" i="14"/>
  <c r="D23" i="14"/>
  <c r="B104" i="9"/>
  <c r="N44" i="15"/>
  <c r="G19" i="14"/>
  <c r="D114" i="20"/>
  <c r="D109" i="20"/>
  <c r="B9" i="15"/>
  <c r="G28" i="16"/>
  <c r="D84" i="20" s="1"/>
  <c r="F45" i="15"/>
  <c r="D45" i="15" s="1"/>
  <c r="H45" i="15" s="1"/>
  <c r="B50" i="7"/>
  <c r="F47" i="15" s="1"/>
  <c r="F46" i="15"/>
  <c r="F35" i="15"/>
  <c r="F17" i="15"/>
  <c r="F16" i="15"/>
  <c r="F15" i="15"/>
  <c r="F18" i="15"/>
  <c r="F32" i="15"/>
  <c r="H17" i="9" l="1"/>
  <c r="B105" i="9"/>
  <c r="B100" i="9"/>
  <c r="D23" i="7"/>
  <c r="F26" i="15" s="1"/>
  <c r="D22" i="7"/>
  <c r="F25" i="15" s="1"/>
  <c r="D21" i="7"/>
  <c r="F24" i="15" s="1"/>
  <c r="D50" i="15" l="1"/>
  <c r="G50" i="15" l="1"/>
  <c r="H50" i="15"/>
  <c r="B24" i="4" l="1"/>
  <c r="F15" i="2" l="1"/>
  <c r="Q15" i="2"/>
  <c r="G45" i="16"/>
  <c r="D101" i="20" s="1"/>
  <c r="G44" i="16"/>
  <c r="D100" i="20" s="1"/>
  <c r="G43" i="16"/>
  <c r="D99" i="20" s="1"/>
  <c r="G36" i="16"/>
  <c r="D92" i="20" s="1"/>
  <c r="G29" i="16"/>
  <c r="D85" i="20" s="1"/>
  <c r="G30" i="16"/>
  <c r="D86" i="20" s="1"/>
  <c r="G31" i="16"/>
  <c r="D87" i="20" s="1"/>
  <c r="G17" i="16"/>
  <c r="D77" i="20" s="1"/>
  <c r="D16" i="20" l="1"/>
  <c r="D24" i="15"/>
  <c r="D25" i="15"/>
  <c r="D26" i="15"/>
  <c r="M27" i="15"/>
  <c r="D18" i="7"/>
  <c r="D19" i="7"/>
  <c r="F19" i="15"/>
  <c r="D19" i="15" s="1"/>
  <c r="F20" i="15"/>
  <c r="D20" i="15" s="1"/>
  <c r="D18" i="15"/>
  <c r="D15" i="15"/>
  <c r="D16" i="15"/>
  <c r="D17" i="15"/>
  <c r="D27" i="15"/>
  <c r="D30" i="15"/>
  <c r="D31" i="15"/>
  <c r="D32" i="15"/>
  <c r="D35" i="15"/>
  <c r="D39" i="15"/>
  <c r="G45" i="15"/>
  <c r="D46" i="15"/>
  <c r="D47" i="15"/>
  <c r="D48" i="15"/>
  <c r="D49" i="15"/>
  <c r="D51" i="15"/>
  <c r="D52" i="15"/>
  <c r="D53" i="15"/>
  <c r="F22" i="15" l="1"/>
  <c r="D22" i="15" s="1"/>
  <c r="F23" i="15"/>
  <c r="D23" i="15" s="1"/>
  <c r="G20" i="15"/>
  <c r="H20" i="15"/>
  <c r="G25" i="15"/>
  <c r="H25" i="15"/>
  <c r="G35" i="15"/>
  <c r="H35" i="15"/>
  <c r="G27" i="15"/>
  <c r="H27" i="15"/>
  <c r="G47" i="15"/>
  <c r="H47" i="15"/>
  <c r="G42" i="16" s="1"/>
  <c r="D98" i="20" s="1"/>
  <c r="G15" i="15"/>
  <c r="H15" i="15"/>
  <c r="G46" i="15"/>
  <c r="H46" i="15"/>
  <c r="G18" i="15"/>
  <c r="H18" i="15"/>
  <c r="G39" i="15"/>
  <c r="H39" i="15"/>
  <c r="G24" i="15"/>
  <c r="H24" i="15"/>
  <c r="G52" i="15"/>
  <c r="H52" i="15"/>
  <c r="G17" i="15"/>
  <c r="H17" i="15"/>
  <c r="G19" i="15"/>
  <c r="H19" i="15"/>
  <c r="G26" i="15"/>
  <c r="H26" i="15"/>
  <c r="G32" i="15"/>
  <c r="H32" i="15"/>
  <c r="G53" i="15"/>
  <c r="H53" i="15"/>
  <c r="G31" i="15"/>
  <c r="H31" i="15"/>
  <c r="G30" i="15"/>
  <c r="H30" i="15"/>
  <c r="G51" i="15"/>
  <c r="H51" i="15"/>
  <c r="G49" i="15"/>
  <c r="H49" i="15"/>
  <c r="G48" i="15"/>
  <c r="H48" i="15"/>
  <c r="G16" i="15"/>
  <c r="H16" i="15"/>
  <c r="B69" i="7"/>
  <c r="B70" i="7"/>
  <c r="G23" i="15" l="1"/>
  <c r="H23" i="15"/>
  <c r="H22" i="15"/>
  <c r="G22" i="15"/>
  <c r="B13" i="7"/>
  <c r="B101" i="9" s="1"/>
  <c r="B4" i="7"/>
  <c r="B8" i="7" l="1"/>
  <c r="D8" i="7" s="1"/>
  <c r="B98" i="9"/>
  <c r="C27" i="16"/>
  <c r="G27" i="16" s="1"/>
  <c r="D83" i="20" s="1"/>
  <c r="D5" i="20"/>
  <c r="B17" i="7"/>
  <c r="D6" i="20"/>
  <c r="D9" i="7"/>
  <c r="D10" i="7"/>
  <c r="F14" i="15" l="1"/>
  <c r="D14" i="15" s="1"/>
  <c r="B99" i="9"/>
  <c r="F12" i="15"/>
  <c r="F13" i="15"/>
  <c r="D13" i="15" s="1"/>
  <c r="D17" i="7"/>
  <c r="G13" i="15" l="1"/>
  <c r="H13" i="15"/>
  <c r="G14" i="15"/>
  <c r="H14" i="15"/>
  <c r="F21" i="15"/>
  <c r="D21" i="15" s="1"/>
  <c r="D12" i="15"/>
  <c r="H21" i="15" l="1"/>
  <c r="G21" i="15"/>
  <c r="H12" i="15"/>
  <c r="G12" i="15"/>
  <c r="F12" i="2" l="1"/>
  <c r="F9" i="2"/>
  <c r="F6" i="2"/>
  <c r="F27" i="2"/>
  <c r="F8" i="2"/>
  <c r="F13" i="2"/>
  <c r="F31" i="2"/>
  <c r="F10" i="2"/>
  <c r="F23" i="2"/>
  <c r="F25" i="2"/>
  <c r="F36" i="2"/>
  <c r="F42" i="2"/>
  <c r="F29" i="2"/>
  <c r="F21" i="2"/>
  <c r="F34" i="2"/>
  <c r="F22" i="2"/>
  <c r="F7" i="2"/>
  <c r="F33" i="2"/>
  <c r="F41" i="2"/>
  <c r="F24" i="2"/>
  <c r="F39" i="2"/>
  <c r="F26" i="2"/>
  <c r="F19" i="2"/>
  <c r="F28" i="2"/>
  <c r="F32" i="2"/>
  <c r="F14" i="2"/>
  <c r="F16" i="2"/>
  <c r="F5" i="2"/>
  <c r="Q12" i="2"/>
  <c r="Q9" i="2"/>
  <c r="Q6" i="2"/>
  <c r="Q27" i="2"/>
  <c r="Q8" i="2"/>
  <c r="Q13" i="2"/>
  <c r="Q31" i="2"/>
  <c r="Q10" i="2"/>
  <c r="Q23" i="2"/>
  <c r="Q25" i="2"/>
  <c r="Q36" i="2"/>
  <c r="Q42" i="2"/>
  <c r="Q29" i="2"/>
  <c r="Q21" i="2"/>
  <c r="Q34" i="2"/>
  <c r="Q22" i="2"/>
  <c r="Q7" i="2"/>
  <c r="Q33" i="2"/>
  <c r="Q41" i="2"/>
  <c r="Q24" i="2"/>
  <c r="Q39" i="2"/>
  <c r="Q26" i="2"/>
  <c r="Q19" i="2"/>
  <c r="Q28" i="2"/>
  <c r="Q32" i="2"/>
  <c r="Q14" i="2"/>
  <c r="Q16" i="2"/>
  <c r="Q5" i="2"/>
  <c r="C48" i="2"/>
  <c r="B123" i="9" s="1"/>
  <c r="J47" i="2" l="1"/>
  <c r="J48" i="2" s="1"/>
  <c r="I14" i="14" s="1"/>
  <c r="M47" i="2"/>
  <c r="B125" i="9" s="1"/>
  <c r="H47" i="2"/>
  <c r="H48" i="2" s="1"/>
  <c r="I47" i="2"/>
  <c r="I48" i="2" s="1"/>
  <c r="B102" i="9"/>
  <c r="B97" i="9"/>
  <c r="Q48" i="2"/>
  <c r="G47" i="2" s="1"/>
  <c r="D8" i="20"/>
  <c r="D3" i="14"/>
  <c r="B9" i="4"/>
  <c r="F47" i="2"/>
  <c r="D47" i="2"/>
  <c r="B124" i="9" s="1"/>
  <c r="B126" i="9" s="1"/>
  <c r="B127" i="9" s="1"/>
  <c r="K47" i="2"/>
  <c r="K48" i="2" s="1"/>
  <c r="I15" i="14" s="1"/>
  <c r="I45" i="14" l="1"/>
  <c r="I35" i="14"/>
  <c r="I44" i="14"/>
  <c r="I34" i="14"/>
  <c r="B69" i="14"/>
  <c r="I12" i="14"/>
  <c r="B10" i="4"/>
  <c r="D48" i="2"/>
  <c r="D9" i="20" s="1"/>
  <c r="D10" i="20"/>
  <c r="F48" i="2"/>
  <c r="E47" i="2"/>
  <c r="G48" i="2"/>
  <c r="L47" i="2" s="1" a="1"/>
  <c r="L47" i="2" s="1"/>
  <c r="I42" i="14" l="1"/>
  <c r="I32" i="14"/>
  <c r="B13" i="4"/>
  <c r="C50" i="2"/>
  <c r="C54" i="2" s="1"/>
  <c r="C51" i="2"/>
  <c r="C53" i="2" s="1"/>
  <c r="C52" i="2"/>
  <c r="B14" i="4" l="1"/>
  <c r="B112" i="9"/>
  <c r="F41" i="15"/>
  <c r="D41" i="15" s="1"/>
  <c r="B16" i="4"/>
  <c r="B17" i="4" s="1"/>
  <c r="G35" i="16"/>
  <c r="D91" i="20" s="1"/>
  <c r="B109" i="9"/>
  <c r="D12" i="20"/>
  <c r="B41" i="7"/>
  <c r="G41" i="15" l="1"/>
  <c r="H41" i="15"/>
  <c r="B18" i="4"/>
  <c r="B62" i="7"/>
  <c r="B34" i="7"/>
  <c r="B33" i="7"/>
  <c r="B131" i="9" s="1"/>
  <c r="B133" i="9" s="1"/>
  <c r="B40" i="7"/>
  <c r="B134" i="9" l="1"/>
  <c r="B137" i="9"/>
  <c r="B136" i="9"/>
  <c r="B93" i="9"/>
  <c r="B144" i="9" s="1"/>
  <c r="B94" i="9"/>
  <c r="B63" i="7"/>
  <c r="B66" i="7" s="1"/>
  <c r="F29" i="15"/>
  <c r="D29" i="15" s="1"/>
  <c r="F38" i="15"/>
  <c r="D38" i="15" s="1"/>
  <c r="F37" i="15"/>
  <c r="D37" i="15" s="1"/>
  <c r="F28" i="15"/>
  <c r="D28" i="15" s="1"/>
  <c r="F40" i="15"/>
  <c r="D40" i="15" s="1"/>
  <c r="F33" i="15"/>
  <c r="D33" i="15" s="1"/>
  <c r="B35" i="7"/>
  <c r="D15" i="20" s="1"/>
  <c r="D17" i="20"/>
  <c r="B143" i="9" l="1"/>
  <c r="B135" i="9"/>
  <c r="B142" i="9" s="1"/>
  <c r="G37" i="15"/>
  <c r="H37" i="15"/>
  <c r="H33" i="15"/>
  <c r="G33" i="15"/>
  <c r="G40" i="15"/>
  <c r="H40" i="15"/>
  <c r="H38" i="15"/>
  <c r="G38" i="15"/>
  <c r="B67" i="7"/>
  <c r="B68" i="7" s="1"/>
  <c r="B64" i="7" s="1"/>
  <c r="B71" i="7" s="1"/>
  <c r="B73" i="7"/>
  <c r="G29" i="15"/>
  <c r="H29" i="15"/>
  <c r="G28" i="15"/>
  <c r="H28" i="15"/>
  <c r="B145" i="9" l="1"/>
  <c r="B147" i="9" s="1"/>
  <c r="B72" i="7"/>
  <c r="B42" i="7" s="1"/>
  <c r="B146" i="9" l="1"/>
  <c r="B27" i="9" s="1"/>
  <c r="B3" i="9"/>
  <c r="B5" i="9" s="1"/>
  <c r="B6" i="9" s="1"/>
  <c r="B43" i="7"/>
  <c r="B45" i="7" s="1"/>
  <c r="B62" i="14" s="1"/>
  <c r="B63" i="14" s="1"/>
  <c r="D27" i="9" l="1"/>
  <c r="D35" i="9" s="1"/>
  <c r="B64" i="14"/>
  <c r="B65" i="14" s="1"/>
  <c r="B66" i="14" s="1"/>
  <c r="B67" i="14" s="1"/>
  <c r="B68" i="14" s="1"/>
  <c r="B70" i="14" s="1"/>
  <c r="B71" i="14" s="1"/>
  <c r="J18" i="14" s="1"/>
  <c r="D18" i="9"/>
  <c r="D17" i="9"/>
  <c r="B4" i="9"/>
  <c r="D24" i="20" s="1"/>
  <c r="D5" i="14"/>
  <c r="D19" i="9"/>
  <c r="F19" i="9" s="1"/>
  <c r="D23" i="20"/>
  <c r="D16" i="9"/>
  <c r="D32" i="20" l="1"/>
  <c r="B12" i="9"/>
  <c r="B110" i="9"/>
  <c r="D46" i="20"/>
  <c r="B38" i="9"/>
  <c r="D43" i="20"/>
  <c r="D44" i="20" s="1"/>
  <c r="F38" i="9"/>
  <c r="J38" i="9"/>
  <c r="F43" i="15"/>
  <c r="D43" i="15" s="1"/>
  <c r="B37" i="9"/>
  <c r="F44" i="15"/>
  <c r="D44" i="15" s="1"/>
  <c r="I13" i="14"/>
  <c r="G18" i="14"/>
  <c r="D4" i="14"/>
  <c r="I11" i="14" s="1"/>
  <c r="B107" i="9"/>
  <c r="B106" i="9"/>
  <c r="F16" i="9"/>
  <c r="I9" i="14"/>
  <c r="B113" i="9"/>
  <c r="F17" i="9"/>
  <c r="B108" i="9"/>
  <c r="D25" i="20"/>
  <c r="B39" i="9"/>
  <c r="F18" i="9"/>
  <c r="B13" i="9" l="1"/>
  <c r="B20" i="9" s="1"/>
  <c r="D20" i="9" s="1"/>
  <c r="D12" i="9"/>
  <c r="F12" i="9" s="1"/>
  <c r="G20" i="14"/>
  <c r="C19" i="16"/>
  <c r="G19" i="16" s="1"/>
  <c r="D79" i="20" s="1"/>
  <c r="D52" i="20"/>
  <c r="D29" i="20"/>
  <c r="I31" i="14"/>
  <c r="I41" i="14"/>
  <c r="I29" i="14"/>
  <c r="D20" i="20" s="1"/>
  <c r="I39" i="14"/>
  <c r="I43" i="14"/>
  <c r="I33" i="14"/>
  <c r="J39" i="9"/>
  <c r="N39" i="9" s="1"/>
  <c r="F37" i="9"/>
  <c r="H37" i="9" s="1"/>
  <c r="C9" i="16" s="1"/>
  <c r="G9" i="16" s="1"/>
  <c r="D69" i="20" s="1"/>
  <c r="N38" i="9"/>
  <c r="G44" i="15"/>
  <c r="H44" i="15"/>
  <c r="G40" i="16" s="1"/>
  <c r="D96" i="20" s="1"/>
  <c r="I10" i="14"/>
  <c r="D11" i="14"/>
  <c r="D12" i="14"/>
  <c r="D48" i="20" s="1"/>
  <c r="D13" i="14"/>
  <c r="D49" i="20" s="1"/>
  <c r="D15" i="14"/>
  <c r="D51" i="20" s="1"/>
  <c r="D14" i="14"/>
  <c r="D50" i="20" s="1"/>
  <c r="D28" i="20"/>
  <c r="F34" i="15"/>
  <c r="D34" i="15" s="1"/>
  <c r="G43" i="15"/>
  <c r="H43" i="15"/>
  <c r="G39" i="16" s="1"/>
  <c r="D95" i="20" s="1"/>
  <c r="D15" i="9" l="1"/>
  <c r="D14" i="9"/>
  <c r="D53" i="20"/>
  <c r="D19" i="20"/>
  <c r="D59" i="20"/>
  <c r="P38" i="9"/>
  <c r="C14" i="16"/>
  <c r="C15" i="16"/>
  <c r="G15" i="16" s="1"/>
  <c r="D75" i="20" s="1"/>
  <c r="E33" i="14"/>
  <c r="D62" i="20" s="1"/>
  <c r="B36" i="9"/>
  <c r="D36" i="20" s="1"/>
  <c r="F15" i="9"/>
  <c r="C38" i="16"/>
  <c r="G38" i="16" s="1"/>
  <c r="D94" i="20" s="1"/>
  <c r="F14" i="9"/>
  <c r="D27" i="20" s="1"/>
  <c r="B103" i="9"/>
  <c r="B116" i="9" s="1"/>
  <c r="B28" i="9" s="1"/>
  <c r="D28" i="9" s="1"/>
  <c r="D36" i="9" s="1"/>
  <c r="D37" i="20" s="1"/>
  <c r="D31" i="20"/>
  <c r="B35" i="9"/>
  <c r="F35" i="9" s="1"/>
  <c r="C34" i="16" s="1"/>
  <c r="D10" i="14"/>
  <c r="D47" i="20" s="1"/>
  <c r="I30" i="14"/>
  <c r="E30" i="14" s="1"/>
  <c r="D60" i="20" s="1"/>
  <c r="I40" i="14"/>
  <c r="E40" i="14" s="1"/>
  <c r="D54" i="20" s="1"/>
  <c r="E41" i="14"/>
  <c r="E43" i="14"/>
  <c r="D56" i="20" s="1"/>
  <c r="E44" i="14"/>
  <c r="D57" i="20" s="1"/>
  <c r="E45" i="14"/>
  <c r="D58" i="20" s="1"/>
  <c r="E42" i="14"/>
  <c r="D55" i="20" s="1"/>
  <c r="E35" i="14"/>
  <c r="D64" i="20" s="1"/>
  <c r="E34" i="14"/>
  <c r="D63" i="20" s="1"/>
  <c r="E32" i="14"/>
  <c r="D61" i="20" s="1"/>
  <c r="E31" i="14"/>
  <c r="J37" i="9"/>
  <c r="N37" i="9" s="1"/>
  <c r="C13" i="16" s="1"/>
  <c r="D41" i="20"/>
  <c r="P39" i="9"/>
  <c r="H34" i="15"/>
  <c r="G34" i="15"/>
  <c r="P37" i="9" l="1"/>
  <c r="G14" i="16"/>
  <c r="D74" i="20" s="1"/>
  <c r="G13" i="16"/>
  <c r="D73" i="20" s="1"/>
  <c r="B117" i="9"/>
  <c r="B119" i="9" s="1"/>
  <c r="H36" i="15"/>
  <c r="H54" i="15" s="1"/>
  <c r="G41" i="16" s="1"/>
  <c r="D97" i="20" s="1"/>
  <c r="D26" i="20"/>
  <c r="F36" i="15"/>
  <c r="D36" i="15" s="1"/>
  <c r="H35" i="9"/>
  <c r="C7" i="16" s="1"/>
  <c r="F36" i="9"/>
  <c r="D33" i="20" l="1"/>
  <c r="J35" i="9"/>
  <c r="N35" i="9" s="1"/>
  <c r="G36" i="15"/>
  <c r="G54" i="15" s="1"/>
  <c r="B14" i="23" s="1"/>
  <c r="D115" i="20" s="1"/>
  <c r="D54" i="15"/>
  <c r="H36" i="9"/>
  <c r="C8" i="16" s="1"/>
  <c r="C33" i="16"/>
  <c r="G33" i="16" s="1"/>
  <c r="D89" i="20" s="1"/>
  <c r="G34" i="16"/>
  <c r="D90" i="20" s="1"/>
  <c r="C11" i="16" l="1"/>
  <c r="G11" i="16" s="1"/>
  <c r="D71" i="20" s="1"/>
  <c r="P35" i="9"/>
  <c r="D34" i="20"/>
  <c r="D107" i="20"/>
  <c r="B5" i="23"/>
  <c r="B7" i="23" s="1"/>
  <c r="D110" i="20" s="1"/>
  <c r="G47" i="16"/>
  <c r="D103" i="20" s="1"/>
  <c r="D38" i="20"/>
  <c r="G8" i="16"/>
  <c r="D68" i="20" s="1"/>
  <c r="J36" i="9"/>
  <c r="G7" i="16"/>
  <c r="D67" i="20" l="1"/>
  <c r="B8" i="23"/>
  <c r="D111" i="20" s="1"/>
  <c r="G49" i="16"/>
  <c r="D105" i="20"/>
  <c r="N36" i="9"/>
  <c r="D39" i="20" l="1"/>
  <c r="C12" i="16"/>
  <c r="G12" i="16" s="1"/>
  <c r="P36" i="9"/>
  <c r="D72" i="20" l="1"/>
  <c r="D80" i="20" s="1"/>
  <c r="G22" i="16"/>
  <c r="G52" i="16" s="1"/>
  <c r="B15" i="23" s="1"/>
  <c r="D116" i="20" l="1"/>
  <c r="B16" i="23"/>
  <c r="D117" i="20" s="1"/>
  <c r="B18" i="23"/>
  <c r="D119" i="2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Pyykkönen Ville (LUKE)</author>
  </authors>
  <commentList>
    <comment ref="A38" authorId="0" shapeId="0" xr:uid="{9BF081E1-6C52-47CC-8DE5-75DACB1BDCDB}">
      <text>
        <r>
          <rPr>
            <b/>
            <sz val="9"/>
            <color indexed="81"/>
            <rFont val="Tahoma"/>
            <family val="2"/>
          </rPr>
          <t>Ohje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Pyykkönen Ville (LUKE)</author>
  </authors>
  <commentList>
    <comment ref="D2" authorId="0" shapeId="0" xr:uid="{5BEFD140-3610-43EF-BACE-0DF82E327C8A}">
      <text>
        <r>
          <rPr>
            <sz val="9"/>
            <color indexed="81"/>
            <rFont val="Tahoma"/>
            <family val="2"/>
          </rPr>
          <t>TS = total solids =
kuiva-aine</t>
        </r>
      </text>
    </comment>
    <comment ref="F2" authorId="0" shapeId="0" xr:uid="{390FD6AD-56C2-4FDF-B84A-EC7C6B44233F}">
      <text>
        <r>
          <rPr>
            <sz val="9"/>
            <color indexed="81"/>
            <rFont val="Tahoma"/>
            <family val="2"/>
          </rPr>
          <t xml:space="preserve">VS = volatile solids = orgaaninen aine (hehkutushäviö)
</t>
        </r>
      </text>
    </comment>
    <comment ref="G2" authorId="0" shapeId="0" xr:uid="{543BC16E-DEEF-4310-B673-2BBFBA3D75C9}">
      <text>
        <r>
          <rPr>
            <b/>
            <sz val="9"/>
            <color indexed="81"/>
            <rFont val="Tahoma"/>
            <family val="2"/>
          </rPr>
          <t>BMP</t>
        </r>
        <r>
          <rPr>
            <sz val="9"/>
            <color indexed="81"/>
            <rFont val="Tahoma"/>
            <family val="2"/>
          </rPr>
          <t xml:space="preserve"> = Biochemical Methane Potential = metaanintuottopotentiaali</t>
        </r>
      </text>
    </comment>
    <comment ref="L2" authorId="0" shapeId="0" xr:uid="{AAAB49A1-53D1-4E99-9D10-6BFE01A7437E}">
      <text>
        <r>
          <rPr>
            <sz val="9"/>
            <color indexed="81"/>
            <rFont val="Tahoma"/>
            <family val="2"/>
          </rPr>
          <t xml:space="preserve">Syötteestä tuotetun biokaasu metaanipitoisuus (tilavuus-%)
</t>
        </r>
      </text>
    </comment>
    <comment ref="C46" authorId="0" shapeId="0" xr:uid="{88922569-C407-43DC-8D91-854B44E0CE27}">
      <text>
        <r>
          <rPr>
            <sz val="9"/>
            <color indexed="81"/>
            <rFont val="Tahoma"/>
            <family val="2"/>
          </rPr>
          <t>Voit lisätä tarvittaessa laimennusvettä (esim. jos syötteen ka &gt;20 %)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Pyykkönen Ville (LUKE)</author>
  </authors>
  <commentList>
    <comment ref="B22" authorId="0" shapeId="0" xr:uid="{8F899BD3-CD64-47BA-A305-43E7BB034CB4}">
      <text>
        <r>
          <rPr>
            <sz val="9"/>
            <color indexed="81"/>
            <rFont val="Tahoma"/>
            <family val="2"/>
          </rPr>
          <t xml:space="preserve">Oletusarvo: 15.
Jos syöteseoksen ka-pitoisuus alittaa valitun arvon, syötettä ei laimenneta nestejakeella.
</t>
        </r>
      </text>
    </comment>
    <comment ref="B23" authorId="0" shapeId="0" xr:uid="{CA6E58A3-4107-48F7-B5F2-8E2A36A2EF79}">
      <text>
        <r>
          <rPr>
            <sz val="9"/>
            <color indexed="81"/>
            <rFont val="Tahoma"/>
            <family val="2"/>
          </rPr>
          <t xml:space="preserve">Oletusarvo: 5,0
</t>
        </r>
      </text>
    </comment>
    <comment ref="B24" authorId="0" shapeId="0" xr:uid="{781AC475-4704-4DAE-9C17-43A2402899BC}">
      <text>
        <r>
          <rPr>
            <sz val="9"/>
            <color indexed="81"/>
            <rFont val="Tahoma"/>
            <family val="2"/>
          </rPr>
          <t xml:space="preserve">VS = orgaaninen aine. Oletusarvo: 0,7*ka-pitoisuus (esim. 0,7*5 %=3,5 %
</t>
        </r>
      </text>
    </comment>
    <comment ref="B25" authorId="0" shapeId="0" xr:uid="{90B32A00-5424-42A1-B5D9-9857232FFFA2}">
      <text>
        <r>
          <rPr>
            <sz val="9"/>
            <color indexed="81"/>
            <rFont val="Tahoma"/>
            <family val="2"/>
          </rPr>
          <t xml:space="preserve">Nestejakeen sisältämän orgaanisen aineen metaanintuottopotentiaali, oletusarvo: 40. 
(Mädätteestä separoitu nestejae tuottaa vielä jonkin verran metaania, jos sitä palautetaan reaktoriin.)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Pyykkönen Ville (LUKE)</author>
  </authors>
  <commentList>
    <comment ref="B8" authorId="0" shapeId="0" xr:uid="{BA323DAD-7BB3-45C5-A949-28B084FD3712}">
      <text>
        <r>
          <rPr>
            <b/>
            <sz val="9"/>
            <color indexed="81"/>
            <rFont val="Tahoma"/>
            <family val="2"/>
          </rPr>
          <t>--Lisää vuotuinen lietesyötemäärä, jos biokaasulaitokseen kuuluu lietesyötesäiliö.</t>
        </r>
        <r>
          <rPr>
            <sz val="9"/>
            <color indexed="81"/>
            <rFont val="Tahoma"/>
            <family val="2"/>
          </rPr>
          <t xml:space="preserve">
--Tarvittaessa lietemäiset syötteet voi jakaa useampaan säiliöön. 
--Oletusarvo: Biokaasulaskuri hakee tähän lietemäisten syötteiden summan (Liete-tunniste Syötteet välilehdellä)
--Kirjoita 0 tai jätä tyhjäksi, jos biokaasulaitokseen ei kuulu lietesyötesäiliötä.</t>
        </r>
      </text>
    </comment>
    <comment ref="B17" authorId="0" shapeId="0" xr:uid="{873B2A94-6522-4C25-A111-259D8000C7AD}">
      <text>
        <r>
          <rPr>
            <b/>
            <sz val="9"/>
            <color indexed="81"/>
            <rFont val="Tahoma"/>
            <family val="2"/>
          </rPr>
          <t>--Lisää vuotuinen kiinteiden syötteiden määrä (t/a), jos laitokseen kuuluu ko. säiliö</t>
        </r>
        <r>
          <rPr>
            <sz val="9"/>
            <color indexed="81"/>
            <rFont val="Tahoma"/>
            <family val="2"/>
          </rPr>
          <t>.
--Oletusarvo: Biokaasulaskuri hakee tähän kiinteiden syötteiden summan (Kiinteä-tunniste Syötteet välilehdellä)
--Voit valita kattamattoman (esim. laakasiilo) tai katetun säiliön
--Tarvittaessa kiinteät syötteet voi jakaa useampaan säiliöön.
--Jos biokaasulaitokseen ei kuulu kiinteän syötteen säiliötä, kirjoita 0 tai jätä tyhjäksi.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Pyykkönen Ville (LUKE)</author>
  </authors>
  <commentList>
    <comment ref="B12" authorId="0" shapeId="0" xr:uid="{63862AE4-0FC4-4743-BFF9-49888D66DB0B}">
      <text>
        <r>
          <rPr>
            <sz val="9"/>
            <color indexed="81"/>
            <rFont val="Tahoma"/>
            <family val="2"/>
          </rPr>
          <t xml:space="preserve">Oletus: =10000*D35/(B3*H12)
Oletuskaava laskee, kuinka suuri osa kaasusta pitäisi polttaa lämpökattilassa, jotta sillä saadaan katettua biokaasulaitoksen lämmönkulutus. 
</t>
        </r>
        <r>
          <rPr>
            <b/>
            <sz val="9"/>
            <color indexed="81"/>
            <rFont val="Tahoma"/>
            <family val="2"/>
          </rPr>
          <t xml:space="preserve">Voit muuttaa lukua tarpeen mukaan välillä 0-100. </t>
        </r>
      </text>
    </comment>
    <comment ref="H12" authorId="0" shapeId="0" xr:uid="{0B18B9A5-CA37-4BD0-8AF6-893E12AA2779}">
      <text>
        <r>
          <rPr>
            <sz val="9"/>
            <color indexed="81"/>
            <rFont val="Tahoma"/>
            <family val="2"/>
          </rPr>
          <t xml:space="preserve">Oletusarvo: 85...90 %, joka tarkoittaa, että biokaasun poltossa syntyy 10...15 % hukkalämpöä.
</t>
        </r>
      </text>
    </comment>
    <comment ref="H14" authorId="0" shapeId="0" xr:uid="{941ABF49-0B10-427A-9A22-E7705D526CBA}">
      <text>
        <r>
          <rPr>
            <sz val="9"/>
            <color indexed="81"/>
            <rFont val="Tahoma"/>
            <family val="2"/>
          </rPr>
          <t xml:space="preserve">Oletusarvo: 62 %. 
Huom! CHP-yksikön kokonaishyötysuhde (sähkö+lämpö) voi olla enintään noin 93-95 %.
</t>
        </r>
      </text>
    </comment>
    <comment ref="H15" authorId="0" shapeId="0" xr:uid="{D9DE4A5F-DEB7-4D82-8E50-6E230F4C3BD0}">
      <text>
        <r>
          <rPr>
            <sz val="9"/>
            <color indexed="81"/>
            <rFont val="Tahoma"/>
            <family val="2"/>
          </rPr>
          <t xml:space="preserve">Oletusarvo: 31 %. Voi vaihdella esim. 25-40 % välillä CHP-yksikön koosta riippuen (sähköhyötysuhde yleensä kasvaa laitteen koon kasvaessa). 
</t>
        </r>
      </text>
    </comment>
    <comment ref="H16" authorId="0" shapeId="0" xr:uid="{E53DD6FE-F4A6-45D2-9AC5-528D5172DBA5}">
      <text>
        <r>
          <rPr>
            <sz val="9"/>
            <color indexed="81"/>
            <rFont val="Tahoma"/>
            <family val="2"/>
          </rPr>
          <t xml:space="preserve">Oletus: 98, joka tarkoittaa 2 % metaanihävikkiä
</t>
        </r>
      </text>
    </comment>
    <comment ref="D27" authorId="0" shapeId="0" xr:uid="{99F8EAAC-310F-4F62-8B0E-74344195CDA1}">
      <text>
        <r>
          <rPr>
            <sz val="9"/>
            <color indexed="81"/>
            <rFont val="Tahoma"/>
            <family val="2"/>
          </rPr>
          <t xml:space="preserve">Oletuksena Biokaasulaskurin laskema ehdotus.
Voit muuttaa haluetessasi. 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Pyykkönen Ville (LUKE)</author>
  </authors>
  <commentList>
    <comment ref="D39" authorId="0" shapeId="0" xr:uid="{AC4C99A5-9637-4DE7-B654-3EB06EED891C}">
      <text>
        <r>
          <rPr>
            <sz val="9"/>
            <color indexed="81"/>
            <rFont val="Tahoma"/>
            <family val="2"/>
          </rPr>
          <t>Esim. 11 000 €. Pienet maatilalaitokset eivät tarvitse soihtua.</t>
        </r>
      </text>
    </comment>
    <comment ref="D42" authorId="0" shapeId="0" xr:uid="{0382DB8E-ECE6-4305-A393-3D149CD8F323}">
      <text>
        <r>
          <rPr>
            <sz val="9"/>
            <color indexed="81"/>
            <rFont val="Tahoma"/>
            <family val="2"/>
          </rPr>
          <t xml:space="preserve">Maatilamittakaavassa (esim. 2-4 lypsyrobotin maitotila) arviolta noin 100 000 €.
</t>
        </r>
      </text>
    </comment>
    <comment ref="D44" authorId="0" shapeId="0" xr:uid="{5E891143-988B-48B0-937E-7CECC21D3122}">
      <text>
        <r>
          <rPr>
            <sz val="9"/>
            <color indexed="81"/>
            <rFont val="Tahoma"/>
            <family val="2"/>
          </rPr>
          <t>126 000 €, jos raakakaasun jalostuskapasiteetti 60-150 m3/h (525 600-1 314 000 m3/a). 
157 500 €, jos raakakaasukapasiteetti yli 300 m3/h.</t>
        </r>
      </text>
    </comment>
    <comment ref="D45" authorId="0" shapeId="0" xr:uid="{F3A6BD42-0C10-40D0-8F00-5CE1F18B2FFE}">
      <text>
        <r>
          <rPr>
            <sz val="9"/>
            <color indexed="81"/>
            <rFont val="Tahoma"/>
            <family val="2"/>
          </rPr>
          <t>Oletus: 1000 m2*50 €/m2 = 50 000 €</t>
        </r>
      </text>
    </comment>
    <comment ref="D48" authorId="0" shapeId="0" xr:uid="{4EDED5FB-F60E-46B9-8277-CD653E8C3F43}">
      <text>
        <r>
          <rPr>
            <sz val="9"/>
            <color indexed="81"/>
            <rFont val="Tahoma"/>
            <family val="2"/>
          </rPr>
          <t xml:space="preserve">Pienentää syötteen hygienisoinnin vaatimaan alle 12 mm palakokoon. Koosta riippuen esim. 50 000-150 000 €.
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Pyykkönen Ville (LUKE)</author>
  </authors>
  <commentList>
    <comment ref="C44" authorId="0" shapeId="0" xr:uid="{DC05A97F-7384-4D19-AE72-313CC44E5463}">
      <text>
        <r>
          <rPr>
            <sz val="9"/>
            <color indexed="81"/>
            <rFont val="Tahoma"/>
            <family val="2"/>
          </rPr>
          <t xml:space="preserve">Oletus: 0,5 h/d </t>
        </r>
      </text>
    </comment>
    <comment ref="C47" authorId="0" shapeId="0" xr:uid="{23A73EC7-1A12-496D-BBED-6C90D853244A}">
      <text>
        <r>
          <rPr>
            <sz val="9"/>
            <color indexed="81"/>
            <rFont val="Tahoma"/>
            <family val="2"/>
          </rPr>
          <t xml:space="preserve">Oletus: 0,5 % tukemattomasta investointihinnasta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Pyykkönen Ville (LUKE)</author>
  </authors>
  <commentList>
    <comment ref="B6" authorId="0" shapeId="0" xr:uid="{09758164-10CB-4F59-B382-21E2E3BA7E6F}">
      <text>
        <r>
          <rPr>
            <sz val="9"/>
            <color indexed="81"/>
            <rFont val="Tahoma"/>
            <family val="2"/>
          </rPr>
          <t xml:space="preserve">Oletus 50% </t>
        </r>
      </text>
    </comment>
    <comment ref="B9" authorId="0" shapeId="0" xr:uid="{3F3B0062-BCD9-47CE-BB17-8343F4EB0F0D}">
      <text>
        <r>
          <rPr>
            <sz val="9"/>
            <color indexed="81"/>
            <rFont val="Tahoma"/>
            <family val="2"/>
          </rPr>
          <t xml:space="preserve">Oletus 5% 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python.xml><?xml version="1.0" encoding="utf-8"?>
<python xmlns="http://schemas.microsoft.com/office/spreadsheetml/2023/python">
  <environmentDefinition id="{882DD1B0-6546-4DFA-8A08-902A380B44EA}">
    <initialization>
      <code xml:space="preserve">import numpy as np
import pandas as pd
import matplotlib.pyplot as plt
import seaborn as sns
import statsmodels as sm
import excel
import warnings
warnings.simplefilter('ignore')
excel.set_xl_scalar_conversion(excel.convert_to_scalar)
excel.set_xl_array_conversion(excel.convert_to_dataframe)
</code>
    </initialization>
  </environmentDefinition>
</python>
</file>

<file path=xl/sharedStrings.xml><?xml version="1.0" encoding="utf-8"?>
<sst xmlns="http://schemas.openxmlformats.org/spreadsheetml/2006/main" count="1064" uniqueCount="631">
  <si>
    <t>Sian lietelannasta separoitu kuivajae</t>
  </si>
  <si>
    <t>Elintarvikejalostuksen puhdistamoliete</t>
  </si>
  <si>
    <t>Metsäteollisuuden jätevesien primääriliete</t>
  </si>
  <si>
    <t>Syöte</t>
  </si>
  <si>
    <t>BMP</t>
  </si>
  <si>
    <t>N</t>
  </si>
  <si>
    <t>K</t>
  </si>
  <si>
    <t>Lämpö</t>
  </si>
  <si>
    <t>Olomuoto</t>
  </si>
  <si>
    <t>%</t>
  </si>
  <si>
    <t>kg/t</t>
  </si>
  <si>
    <t>°C</t>
  </si>
  <si>
    <t>Liete</t>
  </si>
  <si>
    <t>Kiinteä</t>
  </si>
  <si>
    <t>Vihannesjäte</t>
  </si>
  <si>
    <t>Rasvajäte</t>
  </si>
  <si>
    <t>Glyseroli</t>
  </si>
  <si>
    <t>Leipomojäte</t>
  </si>
  <si>
    <t>-</t>
  </si>
  <si>
    <t>Makeisjäte</t>
  </si>
  <si>
    <t>Olki</t>
  </si>
  <si>
    <t>Teurasjäte</t>
  </si>
  <si>
    <t>Sisävesikala</t>
  </si>
  <si>
    <t>Naudan lietelanta</t>
  </si>
  <si>
    <t>Siipikarjanlanta, muu siipikarja</t>
  </si>
  <si>
    <t>Naudan lietelannasta separoitu kuivajae</t>
  </si>
  <si>
    <t>Sian lietelanta</t>
  </si>
  <si>
    <t>Siipikarjalanta, munivat</t>
  </si>
  <si>
    <t>Sian kuivikelanta</t>
  </si>
  <si>
    <t>Maitojäte (hera)</t>
  </si>
  <si>
    <t>Säilörehu (nurmiheinät)</t>
  </si>
  <si>
    <t>Suojavyöhyke- ja LHP-nurmi</t>
  </si>
  <si>
    <t>Lohen perkuujäte</t>
  </si>
  <si>
    <t>Yhdyskuntien jätevesiliete</t>
  </si>
  <si>
    <t>Naudan kuivikelanta</t>
  </si>
  <si>
    <t>Järviruoko, tuoreena korjattu</t>
  </si>
  <si>
    <t>Yhdyskuntien biojäte</t>
  </si>
  <si>
    <t>Viljan lajittelujäte</t>
  </si>
  <si>
    <t>Öljykasvien korret</t>
  </si>
  <si>
    <t>Lämpötila</t>
  </si>
  <si>
    <t>Liuk. N</t>
  </si>
  <si>
    <t xml:space="preserve">P </t>
  </si>
  <si>
    <t>t/a</t>
  </si>
  <si>
    <t>t VS/a</t>
  </si>
  <si>
    <t>VS-pit.</t>
  </si>
  <si>
    <t>% TS:sta</t>
  </si>
  <si>
    <t>VS-osuus</t>
  </si>
  <si>
    <t>Metaanintuottopotentiaali MWh/a</t>
  </si>
  <si>
    <t>Metaanintuottopotentiaali kWh/tonni</t>
  </si>
  <si>
    <r>
      <t>Metaanintuottopotentiaali 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/t syötettä</t>
    </r>
  </si>
  <si>
    <r>
      <t>Metaanintuottopotentiaali 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/a</t>
    </r>
  </si>
  <si>
    <t>Lietesäiliö 1</t>
  </si>
  <si>
    <t>Lietesäiliö 2</t>
  </si>
  <si>
    <t>Lietesäiliö 3</t>
  </si>
  <si>
    <t>Määrä (t/a)</t>
  </si>
  <si>
    <t>Monen vrk:n syöte?</t>
  </si>
  <si>
    <t>Hinta (€)</t>
  </si>
  <si>
    <t>Ei</t>
  </si>
  <si>
    <t>Reaktorin sekoitin/sekoittimet</t>
  </si>
  <si>
    <t xml:space="preserve">Muu prosessitekniikka </t>
  </si>
  <si>
    <t>Boileri, putkitukset ja automaatioliitännät</t>
  </si>
  <si>
    <t>Yllä mainittujen asennustyöt &amp; käyttöönotto</t>
  </si>
  <si>
    <t>Sähköliityntä verkkoon</t>
  </si>
  <si>
    <t>Dekantterilinko</t>
  </si>
  <si>
    <t>LÄMPÖHÄVIÖ SYLINTERIN MUOTOISESTA REAKTORISTA  YMPÄRISTÖÖN (vain pohja on maata vasten, muuten kosketuksissa ilmaan)</t>
  </si>
  <si>
    <t>Ulkoilman lämpötila (°C)</t>
  </si>
  <si>
    <t>Maan lämpötila  (°C)</t>
  </si>
  <si>
    <t>Reaktorin korkeus, h (m)</t>
  </si>
  <si>
    <t>Säde, r (m)</t>
  </si>
  <si>
    <t>Pohjan ala, A (m2)</t>
  </si>
  <si>
    <t>Katon ala, A (m2)</t>
  </si>
  <si>
    <t>Sylinterin vaipan ala, A (m2)</t>
  </si>
  <si>
    <t>Tarkistus, V (m3)</t>
  </si>
  <si>
    <t>Eristeen paksuus (m)</t>
  </si>
  <si>
    <t>MWh</t>
  </si>
  <si>
    <t>Reaktorin sekoittimet</t>
  </si>
  <si>
    <t>Reaktorin kaksoimembraanin puhallin</t>
  </si>
  <si>
    <t>Jälkikaasualtaan sekoitin</t>
  </si>
  <si>
    <t>Jälkikaasualtaan kaksoismembraanin puhallin</t>
  </si>
  <si>
    <t>Ilman syöttö reaktoriin</t>
  </si>
  <si>
    <t>Lietteiden syöttöpumppu</t>
  </si>
  <si>
    <t>Lietesyötesäiliön sekoitin</t>
  </si>
  <si>
    <t xml:space="preserve">Syöttöruuvi </t>
  </si>
  <si>
    <t xml:space="preserve">Murskain (apevaunu) + syöttölaite </t>
  </si>
  <si>
    <t>Reaktorin lämmityskierron pumput</t>
  </si>
  <si>
    <t>Biokaasupuhallin (CHP-yksikkö ja/tai lämpökattila)</t>
  </si>
  <si>
    <t>Hygienisointiyksikkö</t>
  </si>
  <si>
    <t>Jalostus liikennebiokaasuksi</t>
  </si>
  <si>
    <t>Liikennebiokaasun paineistus (250 bar)</t>
  </si>
  <si>
    <t>Tankkausasema</t>
  </si>
  <si>
    <t>Ruuvipuristin + syöttöpumppu (syötteen laimennus)</t>
  </si>
  <si>
    <t>Mädätteen nestejakeen syöttöpumppu reaktoriin</t>
  </si>
  <si>
    <t>Mädätteen poistopumppu</t>
  </si>
  <si>
    <t>Mädätesäiliön sekoitin</t>
  </si>
  <si>
    <t>Sähkönkulutus yhteensä kWh</t>
  </si>
  <si>
    <t>Lietesäiliöt</t>
  </si>
  <si>
    <t>Säiliösekoitin</t>
  </si>
  <si>
    <t>Pumppu</t>
  </si>
  <si>
    <t>Kyllä</t>
  </si>
  <si>
    <t>Energia</t>
  </si>
  <si>
    <t>Energiantuotantosuunnan valinta</t>
  </si>
  <si>
    <t xml:space="preserve">Oletuksena osa biokaasusta käytetään biokaasureaktorin tarvitseman lämmön tuottamiseen. </t>
  </si>
  <si>
    <t>Energiantuotantomuoto</t>
  </si>
  <si>
    <t>Lämmön tuotanto</t>
  </si>
  <si>
    <t>kW</t>
  </si>
  <si>
    <t>Yksikkö</t>
  </si>
  <si>
    <t>Tekniikka</t>
  </si>
  <si>
    <t>d</t>
  </si>
  <si>
    <t>Reaktorin lämpötila</t>
  </si>
  <si>
    <r>
      <rPr>
        <sz val="11"/>
        <color theme="1"/>
        <rFont val="Aptos Narrow"/>
        <family val="2"/>
      </rPr>
      <t>°</t>
    </r>
    <r>
      <rPr>
        <sz val="11"/>
        <color theme="1"/>
        <rFont val="Aptos Narrow"/>
        <family val="2"/>
        <scheme val="minor"/>
      </rPr>
      <t>C</t>
    </r>
  </si>
  <si>
    <r>
      <t>Säiliön hyöty-tilavuus (m</t>
    </r>
    <r>
      <rPr>
        <b/>
        <vertAlign val="superscript"/>
        <sz val="11"/>
        <color theme="1"/>
        <rFont val="Aptos Narrow"/>
        <family val="2"/>
        <scheme val="minor"/>
      </rPr>
      <t>3</t>
    </r>
    <r>
      <rPr>
        <b/>
        <sz val="11"/>
        <color theme="1"/>
        <rFont val="Aptos Narrow"/>
        <family val="2"/>
        <scheme val="minor"/>
      </rPr>
      <t>)</t>
    </r>
  </si>
  <si>
    <t xml:space="preserve">Reaktorin prosessitilavuus	</t>
  </si>
  <si>
    <r>
      <t>m</t>
    </r>
    <r>
      <rPr>
        <vertAlign val="superscript"/>
        <sz val="11"/>
        <color theme="1"/>
        <rFont val="Aptos Narrow"/>
        <family val="2"/>
        <scheme val="minor"/>
      </rPr>
      <t>3</t>
    </r>
  </si>
  <si>
    <t>Syötteen kuiva-ainepitoisuus</t>
  </si>
  <si>
    <t>Reaktorin orgaaninen kuormitus</t>
  </si>
  <si>
    <r>
      <t>kg VS / (m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 xml:space="preserve"> d)</t>
    </r>
  </si>
  <si>
    <t>Tekniikka-välilehti: Separointi</t>
  </si>
  <si>
    <t>Ei separointia</t>
  </si>
  <si>
    <t>Raaka-aineiden metaanintuottopotentiaali</t>
  </si>
  <si>
    <r>
      <t>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 xml:space="preserve"> CH</t>
    </r>
    <r>
      <rPr>
        <vertAlign val="subscript"/>
        <sz val="11"/>
        <color theme="1"/>
        <rFont val="Aptos Narrow"/>
        <family val="2"/>
        <scheme val="minor"/>
      </rPr>
      <t>4</t>
    </r>
    <r>
      <rPr>
        <sz val="11"/>
        <color theme="1"/>
        <rFont val="Aptos Narrow"/>
        <family val="2"/>
        <scheme val="minor"/>
      </rPr>
      <t xml:space="preserve">/a </t>
    </r>
  </si>
  <si>
    <t>Käsittelyjäännöksen (eli mädätteen) separointi kuiva- ja nestejakeiksi</t>
  </si>
  <si>
    <t>Arvo</t>
  </si>
  <si>
    <t xml:space="preserve">Oletusarvo 35 d. Vaihteluväli esim. 20-100 d. Vaikuttaa reaktorin kokoon ja hintaan sekä siihen, kuinka suuri osa syötteen metaanipotentiaalista toteutuu. </t>
  </si>
  <si>
    <t>Ohje/lisätieto</t>
  </si>
  <si>
    <t xml:space="preserve">Syöteseoksen kuiva-ainepitoisuus (TS-pitoisuus): </t>
  </si>
  <si>
    <r>
      <t>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 xml:space="preserve"> CH</t>
    </r>
    <r>
      <rPr>
        <vertAlign val="subscript"/>
        <sz val="11"/>
        <color theme="1"/>
        <rFont val="Aptos Narrow"/>
        <family val="2"/>
        <scheme val="minor"/>
      </rPr>
      <t>4</t>
    </r>
    <r>
      <rPr>
        <sz val="11"/>
        <color theme="1"/>
        <rFont val="Aptos Narrow"/>
        <family val="2"/>
        <scheme val="minor"/>
      </rPr>
      <t>/t VS</t>
    </r>
  </si>
  <si>
    <t xml:space="preserve">Nestejakeen VS-pitoisuus </t>
  </si>
  <si>
    <t>MWh/a</t>
  </si>
  <si>
    <t>Syötteen viipymäaika reaktorissa</t>
  </si>
  <si>
    <t>Biokaasureaktori</t>
  </si>
  <si>
    <r>
      <t xml:space="preserve">Oletusarvo 35 </t>
    </r>
    <r>
      <rPr>
        <i/>
        <sz val="11"/>
        <color theme="1"/>
        <rFont val="Aptos Narrow"/>
        <family val="2"/>
      </rPr>
      <t>°</t>
    </r>
    <r>
      <rPr>
        <i/>
        <sz val="11"/>
        <color theme="1"/>
        <rFont val="Aptos Narrow"/>
        <family val="2"/>
        <scheme val="minor"/>
      </rPr>
      <t xml:space="preserve">C. Mesofiilinen noin 35-42 °C. Termofiilinen esim. 55 °C. Vaikuttaa siihen, kuinka suuri osa syötteen metaanipotentiaalista toteutuu ja biokaasulaitoksen lämpöenrgian kulutukseen.  </t>
    </r>
  </si>
  <si>
    <t xml:space="preserve">Jälkikaasualtaan prosessitilavuus	</t>
  </si>
  <si>
    <r>
      <t>m</t>
    </r>
    <r>
      <rPr>
        <b/>
        <vertAlign val="superscript"/>
        <sz val="11"/>
        <color theme="1"/>
        <rFont val="Aptos Narrow"/>
        <family val="2"/>
        <scheme val="minor"/>
      </rPr>
      <t>3</t>
    </r>
    <r>
      <rPr>
        <b/>
        <sz val="11"/>
        <color theme="1"/>
        <rFont val="Aptos Narrow"/>
        <family val="2"/>
        <scheme val="minor"/>
      </rPr>
      <t xml:space="preserve">/a </t>
    </r>
  </si>
  <si>
    <t xml:space="preserve">Lietesyötesäiliöt </t>
  </si>
  <si>
    <t>Kiinteiden KATETTU säiliö 1</t>
  </si>
  <si>
    <t>Kiinteiden KATETTU säiliö 2</t>
  </si>
  <si>
    <t>Kiinteiden KATETTU säiliö 3</t>
  </si>
  <si>
    <t>Kiinteiden KATTAMATON säiliö 1</t>
  </si>
  <si>
    <t>Yhdistetty lämmön ja sähkön yhteistuotanto (CHP)</t>
  </si>
  <si>
    <t xml:space="preserve"> --&gt; CHP: sähkön osuus</t>
  </si>
  <si>
    <t xml:space="preserve"> --&gt; CHP: lämmön osuus</t>
  </si>
  <si>
    <t>Jakauma</t>
  </si>
  <si>
    <t>Energiantuotto</t>
  </si>
  <si>
    <t>Liikennepolttoainetuotanto jälleenmyyjälle</t>
  </si>
  <si>
    <t>Liikennepolttoainetuotanto &amp; myynti omalta asemalta</t>
  </si>
  <si>
    <t>Investointihinta-arvio (ilman tukea)</t>
  </si>
  <si>
    <t>Investointikustannus</t>
  </si>
  <si>
    <t>Käyttöikä (a)</t>
  </si>
  <si>
    <t>Lietesyötesäiliö 1</t>
  </si>
  <si>
    <t>Lietesyötesäiliö 2</t>
  </si>
  <si>
    <t>Lietesyötesäiliö 3</t>
  </si>
  <si>
    <t>Lietesyötesäiliön 2 sekoitin</t>
  </si>
  <si>
    <t>Lietesyötesäiliön 3 sekoitin</t>
  </si>
  <si>
    <t>Lietesyötesäiliön 1 pumppu</t>
  </si>
  <si>
    <t>Lietesyötesäiliön 2 pumppu</t>
  </si>
  <si>
    <t>Lietesyötesäiliön 3 pumppu</t>
  </si>
  <si>
    <t>Kiinteän syötteen murskaus- ja syöttölaite (esim. apevaunu ja syöttöyhde)</t>
  </si>
  <si>
    <t>Reaktorin rakenteet (sis. pohjalaatat)</t>
  </si>
  <si>
    <t>Jälkikaasualtaan rakenteet (sis. pohjalaatat)</t>
  </si>
  <si>
    <t>Muu prosessitekniikka</t>
  </si>
  <si>
    <t>Muut rakenteet (tekniset tilat, putket, kondenssikaivot)</t>
  </si>
  <si>
    <t>Lämpökattila</t>
  </si>
  <si>
    <t>CHP-yksikkö + kaasun puhallus, aktiivihiili ja kondenssiveden poisto</t>
  </si>
  <si>
    <t>Projektisuunnittelu, työnjohto ja luvat</t>
  </si>
  <si>
    <t>Muut (toimittajan rahoituskulut, matkakulut, rahti...)</t>
  </si>
  <si>
    <t>Jalostin + paineistus 250 bariin, sis. asennus</t>
  </si>
  <si>
    <t>Maatyöt</t>
  </si>
  <si>
    <t>Käsittelyjäännösvarasto: separoinnin kuivajae</t>
  </si>
  <si>
    <t>Käsittelyjäännösvarasto: lietemäinen jäännös tai separoinnin nestejae</t>
  </si>
  <si>
    <t>Hygienisiointiin liittyvä palakoon pienennys (maseraattori)</t>
  </si>
  <si>
    <t>Metaanintuottopotentiaalista toteutuu</t>
  </si>
  <si>
    <t>Haettu Syötteet-välilehdeltä olomuoto-tunnisteen perusteella (Liete/Kiinteä)</t>
  </si>
  <si>
    <t>Kiinteän syötteen säiliöt</t>
  </si>
  <si>
    <t>Ehdotettu hinta (€)</t>
  </si>
  <si>
    <t xml:space="preserve">Lietesyötesäiliön 1 sekoitin </t>
  </si>
  <si>
    <t>Muu investointi</t>
  </si>
  <si>
    <t>Tankkausasema jalostimen yhteydessä, sis. asennus</t>
  </si>
  <si>
    <t>Separoimaton käsittelyjäännös (mädäte)</t>
  </si>
  <si>
    <t>Ravinne</t>
  </si>
  <si>
    <t>Kokonaistyppi (N)</t>
  </si>
  <si>
    <t>Liukoinen typpi</t>
  </si>
  <si>
    <t>Fosfori (P)</t>
  </si>
  <si>
    <t>Kalium (K)</t>
  </si>
  <si>
    <t>Liukoisen typen lisääntyminen parantaa syötteen lannoitusarvoa. Jos käsittelyjäännös käytetään lannoitteena omalla tilalla, voidaan lannoitusarvon parantuminen huomioida biokaasulaitoksen tulona.</t>
  </si>
  <si>
    <t xml:space="preserve">REAKTORI: </t>
  </si>
  <si>
    <t>Syöte tFM/d</t>
  </si>
  <si>
    <t>Syöte VS %</t>
  </si>
  <si>
    <t>θ = HRT (vrk)</t>
  </si>
  <si>
    <t>BMP per päivä m3CH4/d</t>
  </si>
  <si>
    <t>Haettu</t>
  </si>
  <si>
    <t xml:space="preserve">Haettu </t>
  </si>
  <si>
    <t>Laskettu tässä</t>
  </si>
  <si>
    <t>Ok, = 0,013*T-0,129</t>
  </si>
  <si>
    <t>Erottelukerroin</t>
  </si>
  <si>
    <t>Massa (t)</t>
  </si>
  <si>
    <t>VS (t)</t>
  </si>
  <si>
    <t>Tot N (kg)</t>
  </si>
  <si>
    <t>Liuk N (kg)</t>
  </si>
  <si>
    <t>Tot P (kg)</t>
  </si>
  <si>
    <t>K (kg)</t>
  </si>
  <si>
    <t>Tuoremassa</t>
  </si>
  <si>
    <t>Kuiva-aine (TS)</t>
  </si>
  <si>
    <t>Orgaaninen aine (VS)</t>
  </si>
  <si>
    <t xml:space="preserve"> =(26,491*Vvarasto+28273)*1,08 jossa
Vvarasto on varaston tilavuus, ei membraanikatetta</t>
  </si>
  <si>
    <t xml:space="preserve"> =6 000*1,08</t>
  </si>
  <si>
    <t xml:space="preserve"> =10 500*1,08</t>
  </si>
  <si>
    <r>
      <rPr>
        <b/>
        <sz val="11"/>
        <color theme="1"/>
        <rFont val="Aptos Narrow"/>
        <family val="2"/>
        <scheme val="minor"/>
      </rPr>
      <t>Kattamaton</t>
    </r>
    <r>
      <rPr>
        <sz val="11"/>
        <color theme="1"/>
        <rFont val="Aptos Narrow"/>
        <family val="2"/>
        <scheme val="minor"/>
      </rPr>
      <t xml:space="preserve"> kiinteiden syötteiden varasto 1</t>
    </r>
  </si>
  <si>
    <r>
      <rPr>
        <b/>
        <sz val="11"/>
        <color theme="1"/>
        <rFont val="Aptos Narrow"/>
        <family val="2"/>
        <scheme val="minor"/>
      </rPr>
      <t>Kattamaton</t>
    </r>
    <r>
      <rPr>
        <sz val="11"/>
        <color theme="1"/>
        <rFont val="Aptos Narrow"/>
        <family val="2"/>
        <scheme val="minor"/>
      </rPr>
      <t xml:space="preserve"> kiinteiden syötteiden varasto 2</t>
    </r>
    <r>
      <rPr>
        <sz val="11"/>
        <color theme="1"/>
        <rFont val="Aptos Narrow"/>
        <family val="2"/>
        <scheme val="minor"/>
      </rPr>
      <t/>
    </r>
  </si>
  <si>
    <r>
      <rPr>
        <b/>
        <sz val="11"/>
        <color theme="1"/>
        <rFont val="Aptos Narrow"/>
        <family val="2"/>
        <scheme val="minor"/>
      </rPr>
      <t>Kattamaton</t>
    </r>
    <r>
      <rPr>
        <sz val="11"/>
        <color theme="1"/>
        <rFont val="Aptos Narrow"/>
        <family val="2"/>
        <scheme val="minor"/>
      </rPr>
      <t xml:space="preserve"> kiinteiden syötteiden varasto 3</t>
    </r>
    <r>
      <rPr>
        <sz val="11"/>
        <color theme="1"/>
        <rFont val="Aptos Narrow"/>
        <family val="2"/>
        <scheme val="minor"/>
      </rPr>
      <t/>
    </r>
  </si>
  <si>
    <r>
      <rPr>
        <b/>
        <sz val="11"/>
        <color theme="1"/>
        <rFont val="Aptos Narrow"/>
        <family val="2"/>
        <scheme val="minor"/>
      </rPr>
      <t>Katettu</t>
    </r>
    <r>
      <rPr>
        <sz val="11"/>
        <color theme="1"/>
        <rFont val="Aptos Narrow"/>
        <family val="2"/>
        <scheme val="minor"/>
      </rPr>
      <t xml:space="preserve"> kiinteiden syötteiden varasto 1</t>
    </r>
  </si>
  <si>
    <r>
      <rPr>
        <b/>
        <sz val="11"/>
        <color theme="1"/>
        <rFont val="Aptos Narrow"/>
        <family val="2"/>
        <scheme val="minor"/>
      </rPr>
      <t>Katettu</t>
    </r>
    <r>
      <rPr>
        <sz val="11"/>
        <color theme="1"/>
        <rFont val="Aptos Narrow"/>
        <family val="2"/>
        <scheme val="minor"/>
      </rPr>
      <t xml:space="preserve"> kiinteiden syötteiden varasto 2</t>
    </r>
    <r>
      <rPr>
        <sz val="11"/>
        <color theme="1"/>
        <rFont val="Aptos Narrow"/>
        <family val="2"/>
        <scheme val="minor"/>
      </rPr>
      <t/>
    </r>
  </si>
  <si>
    <r>
      <rPr>
        <b/>
        <sz val="11"/>
        <color theme="1"/>
        <rFont val="Aptos Narrow"/>
        <family val="2"/>
        <scheme val="minor"/>
      </rPr>
      <t>Katettu</t>
    </r>
    <r>
      <rPr>
        <sz val="11"/>
        <color theme="1"/>
        <rFont val="Aptos Narrow"/>
        <family val="2"/>
        <scheme val="minor"/>
      </rPr>
      <t xml:space="preserve"> kiinteiden syötteiden varasto 3</t>
    </r>
    <r>
      <rPr>
        <sz val="11"/>
        <color theme="1"/>
        <rFont val="Aptos Narrow"/>
        <family val="2"/>
        <scheme val="minor"/>
      </rPr>
      <t/>
    </r>
  </si>
  <si>
    <t xml:space="preserve"> =(43,863*Vvarasto+10435)*1,08, jossa
Vvarasto on varaston tilavuus</t>
  </si>
  <si>
    <t xml:space="preserve"> =(87,727*Vvarasto+20870)*1,08</t>
  </si>
  <si>
    <t>Kiinteiden KATTAMATON säiliö 2</t>
  </si>
  <si>
    <t>Kiinteiden KATTAMATON säiliö 3</t>
  </si>
  <si>
    <r>
      <t>Oletus: tiheys 500 kg/m</t>
    </r>
    <r>
      <rPr>
        <i/>
        <vertAlign val="superscript"/>
        <sz val="11"/>
        <color theme="1"/>
        <rFont val="Aptos Narrow"/>
        <family val="2"/>
        <scheme val="minor"/>
      </rPr>
      <t>3</t>
    </r>
  </si>
  <si>
    <t xml:space="preserve"> =61700*1,08</t>
  </si>
  <si>
    <t>Valittuja kiinteitä syötteitä yhteensä:</t>
  </si>
  <si>
    <t>Lietemäisen syötteen varastot</t>
  </si>
  <si>
    <t xml:space="preserve">Kiinteän  syötteen varastot </t>
  </si>
  <si>
    <t>Valittuja lietemäisiä syötteitä yhteensä:</t>
  </si>
  <si>
    <t xml:space="preserve"> =(84,55125*VR+80599,05)*1,08, jossa VR
on reaktorin prosessitilavuus</t>
  </si>
  <si>
    <t>Valinnaisia muokkauksia:</t>
  </si>
  <si>
    <t>Keskiteho</t>
  </si>
  <si>
    <t>Siirto ja myynti biokaasuna</t>
  </si>
  <si>
    <t>Poltto soihdussa / hävikki</t>
  </si>
  <si>
    <t xml:space="preserve">Yhteensä </t>
  </si>
  <si>
    <t>Tuotetun biokaasun (metaanin) energiasisältö.</t>
  </si>
  <si>
    <t>Erottelukerroin tarkoittaa, monta prosenttia massakomponentista päätyy kuivajakeejakeeseen (loput nestejekaaseen).</t>
  </si>
  <si>
    <t>Ruuvipuristin</t>
  </si>
  <si>
    <t xml:space="preserve"> tonnia vuodessa. </t>
  </si>
  <si>
    <t>Valitse pudotusvalikosta vaihtoehto --&gt;</t>
  </si>
  <si>
    <t>Ruuviseparointi</t>
  </si>
  <si>
    <t>Linkoseparointi</t>
  </si>
  <si>
    <t>Valinta huomioidaan välilehdillä "5. Ravinteet" ja  "6. Investoinnit"</t>
  </si>
  <si>
    <t xml:space="preserve"> =(13,2132*VR+7150,185)*1,08 jossa VR
on reaktorin prosessitilavuus</t>
  </si>
  <si>
    <t xml:space="preserve">Tuotetun biokaasun massa on: </t>
  </si>
  <si>
    <t xml:space="preserve">Biokaasulaitoksen syötteen massa on: </t>
  </si>
  <si>
    <t xml:space="preserve">Separoinnin kuivajae </t>
  </si>
  <si>
    <t>Separoinnin nestejae </t>
  </si>
  <si>
    <t>Liukoisen typen määrä lisääntyy biokaasuprosessissa tässä tapauksessa:</t>
  </si>
  <si>
    <t>Liukoisen typen määrän lisäyksen rahallinen arvo:</t>
  </si>
  <si>
    <t>€/kg</t>
  </si>
  <si>
    <t>€/a</t>
  </si>
  <si>
    <t>kg/a</t>
  </si>
  <si>
    <t>Biokaasuprosessissa liukoistuvan typen arvo (esim. väkilannoitetypen hinta):</t>
  </si>
  <si>
    <t xml:space="preserve"> t/a </t>
  </si>
  <si>
    <t xml:space="preserve"> Kuiva-ainepitoisuus </t>
  </si>
  <si>
    <t xml:space="preserve"> % </t>
  </si>
  <si>
    <t>Reaktori</t>
  </si>
  <si>
    <t xml:space="preserve"> Orgaaninen kuormitus </t>
  </si>
  <si>
    <t xml:space="preserve"> d </t>
  </si>
  <si>
    <t>Varastointitilan tarve</t>
  </si>
  <si>
    <t>Yleistiedot</t>
  </si>
  <si>
    <t xml:space="preserve"> Kaasuteho </t>
  </si>
  <si>
    <t xml:space="preserve"> kW </t>
  </si>
  <si>
    <t xml:space="preserve"> Tuotetun biokaasun/raakakaasun tilavuus </t>
  </si>
  <si>
    <t xml:space="preserve"> Laitoksen kulutus </t>
  </si>
  <si>
    <t xml:space="preserve"> kg </t>
  </si>
  <si>
    <t>Ravinteet</t>
  </si>
  <si>
    <t>Nestejae</t>
  </si>
  <si>
    <t xml:space="preserve"> t </t>
  </si>
  <si>
    <t xml:space="preserve"> Kuiva-aine </t>
  </si>
  <si>
    <t xml:space="preserve"> Kokonaistyppi (N) </t>
  </si>
  <si>
    <t xml:space="preserve"> kg / t (tuorepaino) </t>
  </si>
  <si>
    <t xml:space="preserve"> Liukoinen typpi </t>
  </si>
  <si>
    <t xml:space="preserve"> Fosfori (P) </t>
  </si>
  <si>
    <t xml:space="preserve"> Kalium (K) </t>
  </si>
  <si>
    <t>Kuivajae</t>
  </si>
  <si>
    <t>Tuotot</t>
  </si>
  <si>
    <t>Kustannukset</t>
  </si>
  <si>
    <t>Vakuutukset ja muut kulut</t>
  </si>
  <si>
    <t xml:space="preserve"> Vakuutus </t>
  </si>
  <si>
    <t xml:space="preserve"> Muu kustannus </t>
  </si>
  <si>
    <t>Investoinnit</t>
  </si>
  <si>
    <t>Investointihinta ilman tukea (alv 0 %)</t>
  </si>
  <si>
    <t xml:space="preserve"> Tuki </t>
  </si>
  <si>
    <t>Kannattavuus</t>
  </si>
  <si>
    <t xml:space="preserve"> Laskentakorkokanta </t>
  </si>
  <si>
    <t xml:space="preserve"> Investoinnin annuiteetti tuki huomioiden </t>
  </si>
  <si>
    <t>Kate</t>
  </si>
  <si>
    <t>Tulos</t>
  </si>
  <si>
    <t xml:space="preserve"> Takaisinmaksuaika tuki huomioiden </t>
  </si>
  <si>
    <t xml:space="preserve"> a </t>
  </si>
  <si>
    <t>Syötteet</t>
  </si>
  <si>
    <t>Syötelista</t>
  </si>
  <si>
    <t xml:space="preserve"> Biokaasun energiasisältö</t>
  </si>
  <si>
    <t xml:space="preserve"> Sähköteho (CHP) </t>
  </si>
  <si>
    <t>Syöttet yhteensä</t>
  </si>
  <si>
    <t xml:space="preserve"> Yhteismäärä</t>
  </si>
  <si>
    <t xml:space="preserve"> Kuiva-aineen  määrä</t>
  </si>
  <si>
    <t xml:space="preserve"> Laimennusveden määrä</t>
  </si>
  <si>
    <t>Laimentavan separoinnin nestejakeen määrä</t>
  </si>
  <si>
    <r>
      <t xml:space="preserve"> 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 xml:space="preserve">/a </t>
    </r>
  </si>
  <si>
    <r>
      <t>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/a</t>
    </r>
  </si>
  <si>
    <t xml:space="preserve"> Reaktorin viipymä</t>
  </si>
  <si>
    <t xml:space="preserve"> Lämpöteho (CHP) </t>
  </si>
  <si>
    <t xml:space="preserve"> Lampöteho (lämpökattila) </t>
  </si>
  <si>
    <t xml:space="preserve"> kW (sähkö) </t>
  </si>
  <si>
    <t xml:space="preserve"> kW (lämpö) </t>
  </si>
  <si>
    <t xml:space="preserve"> Tuotettu määrä</t>
  </si>
  <si>
    <t>Sähkön tuotanto</t>
  </si>
  <si>
    <t>Biokaasun käyttö/myynti raakakaasuna</t>
  </si>
  <si>
    <t>Liukoisen typen lisääntyminen biokaasuprosessissa</t>
  </si>
  <si>
    <t>Porttimaksulliset syötteet</t>
  </si>
  <si>
    <t xml:space="preserve"> Porttimaksullinen syöte</t>
  </si>
  <si>
    <t>Käsittelyjöäännöksen lannoitusarvo</t>
  </si>
  <si>
    <t xml:space="preserve"> Liukoisen typen lisääntyminen</t>
  </si>
  <si>
    <t>Tuotot yhteensä</t>
  </si>
  <si>
    <t>Syötteet ja käsittelyjäännös</t>
  </si>
  <si>
    <t xml:space="preserve"> Tuotettu määrä (CHP + lämpökattila)</t>
  </si>
  <si>
    <t>Ostohyödykkeet</t>
  </si>
  <si>
    <t>Ylläpito-, huolto- ja korjauskustannukset</t>
  </si>
  <si>
    <t>Investointikustannus tuen jälkeen (alv 0 %)</t>
  </si>
  <si>
    <t xml:space="preserve"> Tuen määrä</t>
  </si>
  <si>
    <t xml:space="preserve"> Investointikustannus tuen jälkeen</t>
  </si>
  <si>
    <t>Takaisinmaksuajan menetelmä</t>
  </si>
  <si>
    <t>Annuiteettimenetelmä</t>
  </si>
  <si>
    <t>Kiinteät syötteet</t>
  </si>
  <si>
    <t>Lietemäiset syötteet</t>
  </si>
  <si>
    <t xml:space="preserve"> Biokaasuaitoksen kulutus </t>
  </si>
  <si>
    <t>Tekniikka-välilehti: Murskaus ja syöttö</t>
  </si>
  <si>
    <t>Ei murskausta eikä syöttölaitetta (ei ole kiinteitä syötteitä)</t>
  </si>
  <si>
    <t>Ei murskausta, pelkästään kiinteän syöttölaite (esim. syöttöruuvi)</t>
  </si>
  <si>
    <t>Tuotot ja kulut</t>
  </si>
  <si>
    <t>Kokonaisuus</t>
  </si>
  <si>
    <t>Tieto</t>
  </si>
  <si>
    <t>Määrä</t>
  </si>
  <si>
    <t>Hinta (alv 0 %)</t>
  </si>
  <si>
    <t>Vuosituotto</t>
  </si>
  <si>
    <t>Lisätieto</t>
  </si>
  <si>
    <t xml:space="preserve">	Sähköenergian myynti</t>
  </si>
  <si>
    <t>Lämpöenergian myynti</t>
  </si>
  <si>
    <t>Siirto ja myynti kaasuna</t>
  </si>
  <si>
    <t>Käsittelyjäännöksen lannoitusarvo</t>
  </si>
  <si>
    <t>€/t</t>
  </si>
  <si>
    <t>Muut tuotot</t>
  </si>
  <si>
    <t>Käyttökustannukset</t>
  </si>
  <si>
    <t>Kululaji</t>
  </si>
  <si>
    <t>Vuosikustannus</t>
  </si>
  <si>
    <t>Lietemäisen raaka-aineen jatkokäsittely</t>
  </si>
  <si>
    <t>Raaka-aineen kuljetus</t>
  </si>
  <si>
    <t>Ostosähkö</t>
  </si>
  <si>
    <t>Ostolämpö</t>
  </si>
  <si>
    <t>Kemikaali- ja käyttövesikustannukset</t>
  </si>
  <si>
    <t>Liikennekaasun jalostus</t>
  </si>
  <si>
    <t>Laitoksen muu tekniikka ja rakenteet</t>
  </si>
  <si>
    <t>h/a</t>
  </si>
  <si>
    <t>€/h</t>
  </si>
  <si>
    <t>Päivittäinen työ (tarkastus + pienet korjaukset)</t>
  </si>
  <si>
    <t>Hallinnollinen työ</t>
  </si>
  <si>
    <t>Muu kustannus</t>
  </si>
  <si>
    <t>Kustannukset yhteensä</t>
  </si>
  <si>
    <t>Kate (= tuotot – käyttökustannukset):</t>
  </si>
  <si>
    <t>Kannattavuuden laskennan perustiedot</t>
  </si>
  <si>
    <t>Investointikustannukset</t>
  </si>
  <si>
    <t>€</t>
  </si>
  <si>
    <t>Investointikustannus tuen jälkeen</t>
  </si>
  <si>
    <t>Laskentakorkokanta</t>
  </si>
  <si>
    <t>Kannattavuuden tunnusluvut</t>
  </si>
  <si>
    <t>Annuiteetti tuki huomioiden</t>
  </si>
  <si>
    <t>Takaisinmaksuaika tuki huomioiden</t>
  </si>
  <si>
    <t>a</t>
  </si>
  <si>
    <t>Metaanintuottopotentiaali kWh/a</t>
  </si>
  <si>
    <t>1 normaalikuutio metaania = 10 kWh (alempi lämpöarvo)</t>
  </si>
  <si>
    <t>Muu syöte 1 (käyttäjän lisäämä)</t>
  </si>
  <si>
    <t>Muu syöte 2 (käyttäjän lisäämä)</t>
  </si>
  <si>
    <t>Olomuodon kohdalla pudotusvalikko</t>
  </si>
  <si>
    <t>Mihin ka-pitoisuuteen syöte laimennetaan nestejakeella?</t>
  </si>
  <si>
    <t xml:space="preserve">Märkä- tai puolikuivamädätys </t>
  </si>
  <si>
    <t>Huomioidaan reaktorin tilavuuden laskennassa (koko vaikuttaa investointihintaan)</t>
  </si>
  <si>
    <t>Huomioidaan reaktorin orgaanisen kuormituksen laskennassa (vaikuttaa kaasuntuottoon)</t>
  </si>
  <si>
    <t>Nestejakeen BMP</t>
  </si>
  <si>
    <t>Oletus: jos syötteen ka-pitoisuus on alle 15 %, laimennusta nestejakeella ei tarvita.</t>
  </si>
  <si>
    <t>Separoinnin nestejakeen määrä laimentamista varten:</t>
  </si>
  <si>
    <t>Huomioidaan biokaasulaitoksen kaasuntuotossa</t>
  </si>
  <si>
    <t>Nestejakeen metaanintuottopotentiaali (BMP):</t>
  </si>
  <si>
    <t>Annuiteetti (€/a)</t>
  </si>
  <si>
    <t>Metaanintuotto / Sähkönkulutus</t>
  </si>
  <si>
    <t>Biometaani kWh*0,02</t>
  </si>
  <si>
    <t>Biometaani kWh*0,03</t>
  </si>
  <si>
    <t>Biometaani kWh*0,005 (0,5 % e.sis.)</t>
  </si>
  <si>
    <t>0,6 kWh/t*separoitava määrä</t>
  </si>
  <si>
    <t>0,4 kWh*lietesmäiset syötteet</t>
  </si>
  <si>
    <t>0,4 kWh/t*mädäte t/a</t>
  </si>
  <si>
    <t>SISÄLTÄÄKÖ MÄDÄTESÄILIÖN</t>
  </si>
  <si>
    <t>kWh/tonni</t>
  </si>
  <si>
    <t xml:space="preserve">Hygienisointiyksikkö </t>
  </si>
  <si>
    <t>ok</t>
  </si>
  <si>
    <t>Laskennassa käytettävä met.pot.toteuma</t>
  </si>
  <si>
    <t xml:space="preserve">Oletusarvo; Biokaasulaskurin laskentakaava (ks. Käyttöohje-pdf). </t>
  </si>
  <si>
    <t>Hygienisoitavan syötemateriaalin määrä:</t>
  </si>
  <si>
    <t>Energiakäytön yhteenveto</t>
  </si>
  <si>
    <t>JOS-funktio</t>
  </si>
  <si>
    <t>Kiinteän syötteen murskaus ja syöttö reaktoriin</t>
  </si>
  <si>
    <t>ville.pyykkonen@luke.fi</t>
  </si>
  <si>
    <t xml:space="preserve"> =(84,55125*VJ+80599,05)*1,08, jossa VJ
on jälkikaasualtaan prosessitilavuus</t>
  </si>
  <si>
    <t xml:space="preserve"> =((13,2132*VJ+7150,185)/2)*1,08, eli
puolet halvempi kuin reaktorin sekoitin.
VJ on jälkikaasualtaan prosessitilavuus</t>
  </si>
  <si>
    <t xml:space="preserve"> =56 600*1,08</t>
  </si>
  <si>
    <t xml:space="preserve"> =(3,34257*VR+38007,9)*1,08</t>
  </si>
  <si>
    <t xml:space="preserve"> =(105*P+6562,5)*1,08, jossa P on kattilan
lämpöteho (kW)</t>
  </si>
  <si>
    <t xml:space="preserve"> =46000*1,08</t>
  </si>
  <si>
    <t xml:space="preserve"> =(2388,225*EKSPONENTTI(-
0,003*P)*P+45950)*1,08</t>
  </si>
  <si>
    <t>Hinnan laskentakaava (v. 2023 hintataso)</t>
  </si>
  <si>
    <t>Käsittelyjäännösvarasto (jos kuuluu biokaasuinvestointiin)</t>
  </si>
  <si>
    <t>Soihtu (jos tarve polttaa ylijäämäkaasua)</t>
  </si>
  <si>
    <t>Syötteen laimennus nestejakeella (sep. ja nestej. kierrätys), sis. asennus</t>
  </si>
  <si>
    <t xml:space="preserve"> =10000*1,08</t>
  </si>
  <si>
    <t xml:space="preserve"> =50 000*1,08</t>
  </si>
  <si>
    <t xml:space="preserve"> =(2720,5*[raakakaasu
m3/h]+114812)*1,05</t>
  </si>
  <si>
    <t xml:space="preserve">Hygienisointiyksikön koko </t>
  </si>
  <si>
    <t>Muut hygienointiin liittyvät rakenteet (esim. kuorma-auton pesupaikka)</t>
  </si>
  <si>
    <t>Hygienisointiyksikkö (Tekniikka-välilehdellä valittu hygienisoitavia syötteitä)</t>
  </si>
  <si>
    <t xml:space="preserve"> =(45*A)*1,08, jossa A on maatöiden
pinta-ala (m2)</t>
  </si>
  <si>
    <t>Investointikokonaisuuden arvioitua hintaa pääset muuttamaan klikkaamalla hiirellä hintaa ja täyttämällä soluun uuden hinta-arvion.</t>
  </si>
  <si>
    <t xml:space="preserve">Laskentakorkokanta (annuiteettimenetelmä): </t>
  </si>
  <si>
    <t>Ylläpitokust.  (€/a)</t>
  </si>
  <si>
    <t xml:space="preserve">Porttimaksullinen syöte </t>
  </si>
  <si>
    <t xml:space="preserve">Investointituki </t>
  </si>
  <si>
    <t>Investointituen määrä</t>
  </si>
  <si>
    <t>Voi muuttaa välilehdellä "8. Kannattavuus"</t>
  </si>
  <si>
    <t>Ylläpito % inv./a</t>
  </si>
  <si>
    <t>Alla esitetään laskuriin syötettyjen tietojen perusteella lasketut investointikokonaisuuksien kustannusarviot.</t>
  </si>
  <si>
    <t>Arviota voi tarvittaessa muokata kirjoittamalla suoraan laskurin ehdottaman luvun tilalle oman hinta-arvion.</t>
  </si>
  <si>
    <t>Mahdollisesti saatavat tuet huomioidaan myöhemmin. (Tukiprosentin ja laskentakorkokannan voi ilmoittaa Kannattavuus-välilehdellä.)</t>
  </si>
  <si>
    <r>
      <t xml:space="preserve"> m</t>
    </r>
    <r>
      <rPr>
        <vertAlign val="superscript"/>
        <sz val="11"/>
        <color theme="1"/>
        <rFont val="Aptos Narrow"/>
        <family val="2"/>
        <scheme val="minor"/>
      </rPr>
      <t>3</t>
    </r>
  </si>
  <si>
    <t xml:space="preserve"> Raakakaasun energiasisältö</t>
  </si>
  <si>
    <r>
      <t>€/MWh</t>
    </r>
    <r>
      <rPr>
        <vertAlign val="subscript"/>
        <sz val="10"/>
        <color theme="1"/>
        <rFont val="Aptos Narrow"/>
        <family val="2"/>
        <scheme val="minor"/>
      </rPr>
      <t>sähkö</t>
    </r>
  </si>
  <si>
    <r>
      <t>MWh</t>
    </r>
    <r>
      <rPr>
        <vertAlign val="subscript"/>
        <sz val="10"/>
        <color theme="1"/>
        <rFont val="Aptos Narrow"/>
        <family val="2"/>
        <scheme val="minor"/>
      </rPr>
      <t>sähkö</t>
    </r>
    <r>
      <rPr>
        <sz val="10"/>
        <color theme="1"/>
        <rFont val="Aptos Narrow"/>
        <family val="2"/>
        <scheme val="minor"/>
      </rPr>
      <t>/a</t>
    </r>
  </si>
  <si>
    <t>Kyllä, kiiinteän syötteen sähkökäyttöinen murskauslaite (esim. apevaunu) ja syöttölaite</t>
  </si>
  <si>
    <t>Aloita välilehdeltä "1. Syötteet", jossa ilmoitetaan käytössä olevien syötteiden määrät. Täytä tietoja tarpeen mukaan kullekin välilehdelle.</t>
  </si>
  <si>
    <t xml:space="preserve">Valittu separointimenetelmä: </t>
  </si>
  <si>
    <t>Käsittelyjäännöksen massa on:</t>
  </si>
  <si>
    <t xml:space="preserve"> tonnia vuodessa (ilman laimennuksia).</t>
  </si>
  <si>
    <t xml:space="preserve">Käsittelyjäännöksen separointijakeiden määrät ja ominaisuudet, jos käsittelyjäännös separoidaan </t>
  </si>
  <si>
    <r>
      <t xml:space="preserve"> =(10,282125*V</t>
    </r>
    <r>
      <rPr>
        <vertAlign val="subscript"/>
        <sz val="11"/>
        <color theme="0"/>
        <rFont val="Aptos Narrow"/>
        <family val="2"/>
        <scheme val="minor"/>
      </rPr>
      <t>R</t>
    </r>
    <r>
      <rPr>
        <sz val="11"/>
        <color theme="0"/>
        <rFont val="Aptos Narrow"/>
        <family val="2"/>
        <scheme val="minor"/>
      </rPr>
      <t>+71452,5)*1,08</t>
    </r>
  </si>
  <si>
    <r>
      <t xml:space="preserve"> =(5,95371*V</t>
    </r>
    <r>
      <rPr>
        <vertAlign val="subscript"/>
        <sz val="11"/>
        <color theme="0"/>
        <rFont val="Aptos Narrow"/>
        <family val="2"/>
        <scheme val="minor"/>
      </rPr>
      <t>R</t>
    </r>
    <r>
      <rPr>
        <sz val="11"/>
        <color theme="0"/>
        <rFont val="Aptos Narrow"/>
        <family val="2"/>
        <scheme val="minor"/>
      </rPr>
      <t>+41373,15)*1,08</t>
    </r>
  </si>
  <si>
    <r>
      <t xml:space="preserve"> =(1,011045*V</t>
    </r>
    <r>
      <rPr>
        <vertAlign val="subscript"/>
        <sz val="11"/>
        <color theme="0"/>
        <rFont val="Aptos Narrow"/>
        <family val="2"/>
        <scheme val="minor"/>
      </rPr>
      <t>R</t>
    </r>
    <r>
      <rPr>
        <sz val="11"/>
        <color theme="0"/>
        <rFont val="Aptos Narrow"/>
        <family val="2"/>
        <scheme val="minor"/>
      </rPr>
      <t>+20887,65)*1,08</t>
    </r>
  </si>
  <si>
    <t>Maatilan biokaasulaitokset voivat saada enintään 50 % investointitukea (v. 2026)</t>
  </si>
  <si>
    <t xml:space="preserve">MWh/a	</t>
  </si>
  <si>
    <t>Sähkö</t>
  </si>
  <si>
    <t xml:space="preserve"> =120 000*1,05 (jos raakakaasukapasiteetti
on 60-150 m3/h), 150000*1,05,
jos 300 m3/h tai enemmän</t>
  </si>
  <si>
    <t>(525 600-1 314 000 m3/a).</t>
  </si>
  <si>
    <t xml:space="preserve">€/MWh  </t>
  </si>
  <si>
    <t>€/MWh</t>
  </si>
  <si>
    <t>Energiamuoto</t>
  </si>
  <si>
    <t>–</t>
  </si>
  <si>
    <t>Sisältää mahdollisesti laimennuksessa käytettävän nestejakeen metaanipotentiaalin</t>
  </si>
  <si>
    <t>1 m3 CH4 = 10 kWh</t>
  </si>
  <si>
    <t>myydään (%)</t>
  </si>
  <si>
    <t>(MWh/a)</t>
  </si>
  <si>
    <t>Metsäteollisuuden biol. puhdistamon liete</t>
  </si>
  <si>
    <t>Ruuvipuristin LANNOITTEEN TUOTANTOON</t>
  </si>
  <si>
    <t>kWh/t mädätettä, JOS valittu linkosep</t>
  </si>
  <si>
    <t>kWh</t>
  </si>
  <si>
    <t>kWh/d/m3 R pros.til.</t>
  </si>
  <si>
    <t>Dekantterilinko LANNOITTEEN TUOTANTOON</t>
  </si>
  <si>
    <t xml:space="preserve">Takaisinmaksuaika (a) = Tuettu investointi (€) / Kate (€/a). Ei voi laskea, jos Kate on negatiivinen. </t>
  </si>
  <si>
    <t>Hygienisointiyksikkö (+ muut hygienisointiin liittyvät)</t>
  </si>
  <si>
    <t>Valinta tehdään välilehdellä "3. Tekniikka"</t>
  </si>
  <si>
    <t xml:space="preserve">Pitoisuus </t>
  </si>
  <si>
    <t xml:space="preserve">Massa </t>
  </si>
  <si>
    <t>Massa</t>
  </si>
  <si>
    <t xml:space="preserve">SYÖTTEEN LÄMMITYSENERGIA </t>
  </si>
  <si>
    <t>Syöte t/v</t>
  </si>
  <si>
    <t>Syöte TS %</t>
  </si>
  <si>
    <t>Syötteen lämpötila (°C)</t>
  </si>
  <si>
    <t>Syötteen lämmitys  tavoitelämötilaan (kWh/v)</t>
  </si>
  <si>
    <t>Tarkistus syötteen lämm. (kWh/vrk)</t>
  </si>
  <si>
    <t>Sekoittimien tuottama lämpö (kWh/v)</t>
  </si>
  <si>
    <t>REAKTORIN KOKONAISLÄMMÖNKULUTUS kWh/v</t>
  </si>
  <si>
    <t>MWh/v</t>
  </si>
  <si>
    <t>Tarkistus: kWh/d</t>
  </si>
  <si>
    <t>Ulkoilman lämpötila (vuoden keskiarvo)</t>
  </si>
  <si>
    <t>Maan lämpötila</t>
  </si>
  <si>
    <t>Lisää määrä, jos on hygienisointia vaativia syötteitä ja biokaasulaitokseen kuuluu hygienisointiyksikkö</t>
  </si>
  <si>
    <t>Vaikuttaa investointihintaan</t>
  </si>
  <si>
    <t>Reaktorin lämmönjohtavuus:</t>
  </si>
  <si>
    <r>
      <t>CH</t>
    </r>
    <r>
      <rPr>
        <b/>
        <vertAlign val="subscript"/>
        <sz val="11"/>
        <color theme="0"/>
        <rFont val="Aptos Narrow"/>
        <family val="2"/>
        <scheme val="minor"/>
      </rPr>
      <t>4</t>
    </r>
    <r>
      <rPr>
        <b/>
        <sz val="11"/>
        <color theme="0"/>
        <rFont val="Aptos Narrow"/>
        <family val="2"/>
        <scheme val="minor"/>
      </rPr>
      <t>-pit.</t>
    </r>
  </si>
  <si>
    <r>
      <t>m</t>
    </r>
    <r>
      <rPr>
        <b/>
        <vertAlign val="superscript"/>
        <sz val="11"/>
        <color theme="0"/>
        <rFont val="Aptos Narrow"/>
        <family val="2"/>
        <scheme val="minor"/>
      </rPr>
      <t>3</t>
    </r>
    <r>
      <rPr>
        <b/>
        <sz val="11"/>
        <color theme="0"/>
        <rFont val="Aptos Narrow"/>
        <family val="2"/>
        <scheme val="minor"/>
      </rPr>
      <t xml:space="preserve"> CH</t>
    </r>
    <r>
      <rPr>
        <b/>
        <vertAlign val="subscript"/>
        <sz val="11"/>
        <color theme="0"/>
        <rFont val="Aptos Narrow"/>
        <family val="2"/>
        <scheme val="minor"/>
      </rPr>
      <t>4</t>
    </r>
    <r>
      <rPr>
        <b/>
        <sz val="11"/>
        <color theme="0"/>
        <rFont val="Aptos Narrow"/>
        <family val="2"/>
        <scheme val="minor"/>
      </rPr>
      <t>/t VS</t>
    </r>
  </si>
  <si>
    <t xml:space="preserve"> =C31/100*(I10+'2. Laitostyyppi'!B13+'2. Laitostyyppi'!B15-('2. Laitostyyppi'!B26/100*'2. Laitostyyppi'!B15))</t>
  </si>
  <si>
    <t>Laitostyyppi</t>
  </si>
  <si>
    <t>Syötemäärä:</t>
  </si>
  <si>
    <t>ka-pit.</t>
  </si>
  <si>
    <t>Syöte + mahdollinen nestejae yhteensä:</t>
  </si>
  <si>
    <r>
      <rPr>
        <sz val="11"/>
        <color theme="1"/>
        <rFont val="Aptos Narrow"/>
        <family val="2"/>
      </rPr>
      <t xml:space="preserve"> • </t>
    </r>
    <r>
      <rPr>
        <sz val="11"/>
        <color theme="1"/>
        <rFont val="Aptos Narrow"/>
        <family val="2"/>
        <scheme val="minor"/>
      </rPr>
      <t>Soveltuu parhaiten syöteseokselle, jonka kuiva-ainepitoisuus (ka-pit.) ≤ 20 %</t>
    </r>
  </si>
  <si>
    <t xml:space="preserve">Säilörehu esim. 20-80 €/tuoretonni. Laita määräksi vain ne kiinteät, joilla on tuotanto- ja varastointikustannus. </t>
  </si>
  <si>
    <t xml:space="preserve">Nestejakeen ka-pitoisuus </t>
  </si>
  <si>
    <t xml:space="preserve"> • Jos syöteseoksen kuiva-ainepitoisuus on yli 15 %, Biokaasulaskurin oletusarvona on, että sitä laimennetaan käsittelyjäännöksestä separoidulla nestejakeella 15 %:iin. </t>
  </si>
  <si>
    <r>
      <rPr>
        <sz val="11"/>
        <rFont val="Aptos Narrow"/>
        <family val="2"/>
      </rPr>
      <t xml:space="preserve"> • Jos syötteen ka-pitoisuus on yli 20 %, suositellaan e</t>
    </r>
    <r>
      <rPr>
        <sz val="11"/>
        <rFont val="Aptos Narrow"/>
        <family val="2"/>
        <scheme val="minor"/>
      </rPr>
      <t xml:space="preserve">dellisellä välilehdellä "1. Syötteet"  lisäämään laimennusvettä sen verran, että ka-pitoisuus on noin 20 %. </t>
    </r>
  </si>
  <si>
    <t>Laimennusvesi (tarvittaessa)</t>
  </si>
  <si>
    <t>Mahdollinen laimennus käsittelyjäännöksestä separoitavalla nestejakeella:</t>
  </si>
  <si>
    <t>Ka-pitoisuus (huomioitu mahdollinen laimennus)</t>
  </si>
  <si>
    <t>VS-pitoisuus (huomioitu mahdollinen laimennus)</t>
  </si>
  <si>
    <t>&lt;</t>
  </si>
  <si>
    <t>Kokonaissyöte</t>
  </si>
  <si>
    <t>1 MWh = 1000 kWh</t>
  </si>
  <si>
    <t>Lannat</t>
  </si>
  <si>
    <t>Muut</t>
  </si>
  <si>
    <t>Biojätteet ja sivutuotteet</t>
  </si>
  <si>
    <t>Siipikarjan kuivikelanta</t>
  </si>
  <si>
    <t>Lampaan/vuohen kuivikelanta</t>
  </si>
  <si>
    <t>Hevosen kuivikelanta</t>
  </si>
  <si>
    <t>Turkiseläinten kuivikelanta</t>
  </si>
  <si>
    <t>Kala- ja perkuujäte</t>
  </si>
  <si>
    <t>Lietteet</t>
  </si>
  <si>
    <t xml:space="preserve">Kasvit </t>
  </si>
  <si>
    <t>Ruokohelpi, tuoreena korjattu</t>
  </si>
  <si>
    <t>Vihannesten naatit</t>
  </si>
  <si>
    <t xml:space="preserve">Halutessasi voit korvata oletusarvon omalla arvollasi (maksimi 100 eli  koko potentiaali toteutuu) </t>
  </si>
  <si>
    <t>Tuotettu m3 CH4/a</t>
  </si>
  <si>
    <t>t CH4/a</t>
  </si>
  <si>
    <t>Tuotettu CO2</t>
  </si>
  <si>
    <t>t CO2/a</t>
  </si>
  <si>
    <t>Biokaasun massa t/a</t>
  </si>
  <si>
    <t>0,6*VS-vähenemä</t>
  </si>
  <si>
    <t>Org. N vähenemä (%)</t>
  </si>
  <si>
    <t>VS-vähenemä (%)</t>
  </si>
  <si>
    <t>Mädätteen org. N (t/a)</t>
  </si>
  <si>
    <t>Syötteen org. N (t/a)</t>
  </si>
  <si>
    <t>VS- ja org. N -vähenemät</t>
  </si>
  <si>
    <t>Mädätteen liuk. N lisä (t/a)</t>
  </si>
  <si>
    <t>Separointilaskelmassa ei ole huomioitu mahdollisesti syötteen laimennuksessa käytettävää separoinnin nestejaetta.</t>
  </si>
  <si>
    <t xml:space="preserve">kg/a. Mädätteessä on  </t>
  </si>
  <si>
    <t>enemmän liukoista typpeä kuin syötteessä.</t>
  </si>
  <si>
    <t>omakulutus</t>
  </si>
  <si>
    <t>Biokaasulaitoksen</t>
  </si>
  <si>
    <t>Tuotantomäärä</t>
  </si>
  <si>
    <t>yritykselle</t>
  </si>
  <si>
    <t xml:space="preserve">Omalle </t>
  </si>
  <si>
    <t xml:space="preserve">tuotantomäärä </t>
  </si>
  <si>
    <t>Myynti-</t>
  </si>
  <si>
    <t>potentiaalista</t>
  </si>
  <si>
    <t xml:space="preserve"> -  Omakulutus</t>
  </si>
  <si>
    <t>Ylijäämä-</t>
  </si>
  <si>
    <t>energia</t>
  </si>
  <si>
    <t>määrä</t>
  </si>
  <si>
    <t xml:space="preserve">Myytävä </t>
  </si>
  <si>
    <t>potentiaali</t>
  </si>
  <si>
    <t>Biokaasulaitoksen kokonaisenergiantuotto:</t>
  </si>
  <si>
    <t>Sitä vastaava reaktorin kaasuteho on:</t>
  </si>
  <si>
    <t>Tuotetun biokaasun/raakakaasun tilavuus on:</t>
  </si>
  <si>
    <t>Ehdotettu biokaasu-</t>
  </si>
  <si>
    <t>laitoksen omakulutus</t>
  </si>
  <si>
    <t>Valittu biokaasu-</t>
  </si>
  <si>
    <t>kulutus</t>
  </si>
  <si>
    <t xml:space="preserve">Oman yrityksen </t>
  </si>
  <si>
    <t xml:space="preserve">Liikennepolttoaine jälleenmyyjälle </t>
  </si>
  <si>
    <t>Liikennepolttoaine omalta asemalta</t>
  </si>
  <si>
    <t>(Yksikön muunnosohje:  esim. 11 snt/kWh = 110 €/MWh)</t>
  </si>
  <si>
    <t>Tankkausasema nostaa paineen 250 bariin, jolloin voi tankata myös omia CBG-autoja ja -työkoneita</t>
  </si>
  <si>
    <t>Jätteen "vastaanottomaksu" (esim. toisen yrityksen ruokajätteestä tai puhdistamolietteestä)</t>
  </si>
  <si>
    <t xml:space="preserve">Jos oma yritys tarvitsee ja voi käyttää biometaania ilman paineistusta suoraan biokaasunjalostimelta </t>
  </si>
  <si>
    <t>Korvaushyöty sähkön käytöstä omassa yrityksessä</t>
  </si>
  <si>
    <t xml:space="preserve">	Korvaushyöty lämmön käytöstä omassa yrityksessä</t>
  </si>
  <si>
    <t xml:space="preserve">Hyötysuhde </t>
  </si>
  <si>
    <t>Yhteenveto</t>
  </si>
  <si>
    <r>
      <t xml:space="preserve"> kg VS / (m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 xml:space="preserve"> d) </t>
    </r>
  </si>
  <si>
    <t>Liikennekaasun tuotantoteho</t>
  </si>
  <si>
    <t>Biometaani (liikennekaasu)</t>
  </si>
  <si>
    <t xml:space="preserve"> Oman yrityksen sähkönkulutus (osuus, johon biokaasulaitos voi vastata)</t>
  </si>
  <si>
    <t xml:space="preserve"> Oman yrityksen lämmönkulutus (osuus, johon biokaasulaitos voi vastata)</t>
  </si>
  <si>
    <t xml:space="preserve"> Puhdistetun (jalostetun)  kaasun energiasisältö</t>
  </si>
  <si>
    <t>Biokaasun sisältämän metaanin tilavuus on:</t>
  </si>
  <si>
    <r>
      <t xml:space="preserve">Liikennepolttoaine jälleenmyyjälle </t>
    </r>
    <r>
      <rPr>
        <sz val="10"/>
        <color rgb="FFFF0000"/>
        <rFont val="Aptos Narrow"/>
        <family val="2"/>
        <scheme val="minor"/>
      </rPr>
      <t>(tai omalle yritykselle)</t>
    </r>
  </si>
  <si>
    <r>
      <t xml:space="preserve">Liikennepolttoaine omalta asemalta </t>
    </r>
    <r>
      <rPr>
        <sz val="10"/>
        <color rgb="FFFF0000"/>
        <rFont val="Aptos Narrow"/>
        <family val="2"/>
        <scheme val="minor"/>
      </rPr>
      <t>(myynti / oma yritys)</t>
    </r>
  </si>
  <si>
    <t>Ka (t)</t>
  </si>
  <si>
    <r>
      <t>Yhteensä t/a (BMP: m</t>
    </r>
    <r>
      <rPr>
        <b/>
        <vertAlign val="superscript"/>
        <sz val="10"/>
        <color theme="1"/>
        <rFont val="Aptos Narrow"/>
        <family val="2"/>
        <scheme val="minor"/>
      </rPr>
      <t>3</t>
    </r>
    <r>
      <rPr>
        <b/>
        <sz val="10"/>
        <color theme="1"/>
        <rFont val="Aptos Narrow"/>
        <family val="2"/>
        <scheme val="minor"/>
      </rPr>
      <t xml:space="preserve"> CH</t>
    </r>
    <r>
      <rPr>
        <b/>
        <vertAlign val="subscript"/>
        <sz val="10"/>
        <color theme="1"/>
        <rFont val="Aptos Narrow"/>
        <family val="2"/>
        <scheme val="minor"/>
      </rPr>
      <t>4</t>
    </r>
    <r>
      <rPr>
        <b/>
        <sz val="10"/>
        <color theme="1"/>
        <rFont val="Aptos Narrow"/>
        <family val="2"/>
        <scheme val="minor"/>
      </rPr>
      <t>/a)</t>
    </r>
  </si>
  <si>
    <t xml:space="preserve">JKA: </t>
  </si>
  <si>
    <t>Viipymä jälkikaasualtaassa</t>
  </si>
  <si>
    <r>
      <t xml:space="preserve">Normaalikuutiometriä (0 </t>
    </r>
    <r>
      <rPr>
        <sz val="11"/>
        <color theme="1"/>
        <rFont val="Aptos Narrow"/>
        <family val="2"/>
        <scheme val="minor"/>
      </rPr>
      <t>°</t>
    </r>
    <r>
      <rPr>
        <i/>
        <sz val="11"/>
        <color theme="1"/>
        <rFont val="Aptos Narrow"/>
        <family val="2"/>
        <scheme val="minor"/>
      </rPr>
      <t>C lämpötila ja 1 atm paine) vuodessa.</t>
    </r>
  </si>
  <si>
    <t>Muu konetyö</t>
  </si>
  <si>
    <t>CHP-yksikkö</t>
  </si>
  <si>
    <t>% investoinnista</t>
  </si>
  <si>
    <t xml:space="preserve">Vakuutus </t>
  </si>
  <si>
    <t>Korvaushyöty liikennekaasun käytöstä omassa yrityksessä (omalta asemalta)</t>
  </si>
  <si>
    <r>
      <t xml:space="preserve">Korvaushyöty </t>
    </r>
    <r>
      <rPr>
        <u/>
        <sz val="10"/>
        <color theme="1"/>
        <rFont val="Aptos Narrow"/>
        <family val="2"/>
        <scheme val="minor"/>
      </rPr>
      <t>paineistamattoman</t>
    </r>
    <r>
      <rPr>
        <sz val="10"/>
        <color theme="1"/>
        <rFont val="Aptos Narrow"/>
        <family val="2"/>
        <scheme val="minor"/>
      </rPr>
      <t xml:space="preserve"> liikennekaasun käytöstä omassa yrityksessä</t>
    </r>
  </si>
  <si>
    <t>(Typen hinnan voi muuttaa välilehdellä "7. Tuotot ja kustannukset")</t>
  </si>
  <si>
    <t>Yhteensä (alv 0 %)</t>
  </si>
  <si>
    <r>
      <rPr>
        <b/>
        <sz val="14"/>
        <color theme="1"/>
        <rFont val="Aptos Narrow"/>
        <family val="2"/>
        <scheme val="minor"/>
      </rPr>
      <t>Keltainen solu</t>
    </r>
    <r>
      <rPr>
        <sz val="14"/>
        <color theme="1"/>
        <rFont val="Aptos Narrow"/>
        <family val="2"/>
        <scheme val="minor"/>
      </rPr>
      <t>: käyttäjän pitää itse täyttää lukema, esim. syötemäärät tuoretonneina vuodessa (t/a)</t>
    </r>
  </si>
  <si>
    <r>
      <rPr>
        <b/>
        <sz val="14"/>
        <color theme="1"/>
        <rFont val="Aptos Narrow"/>
        <family val="2"/>
        <scheme val="minor"/>
      </rPr>
      <t>Vaaleankeltainen solu</t>
    </r>
    <r>
      <rPr>
        <sz val="14"/>
        <color theme="1"/>
        <rFont val="Aptos Narrow"/>
        <family val="2"/>
        <scheme val="minor"/>
      </rPr>
      <t>: käyttäjä voi halutessaan muuttaa Biokaasulaskurin oletusarvoja</t>
    </r>
  </si>
  <si>
    <r>
      <rPr>
        <b/>
        <sz val="14"/>
        <color theme="1"/>
        <rFont val="Aptos Narrow"/>
        <family val="2"/>
        <scheme val="minor"/>
      </rPr>
      <t>Vaaleansininen solu</t>
    </r>
    <r>
      <rPr>
        <sz val="14"/>
        <color theme="1"/>
        <rFont val="Aptos Narrow"/>
        <family val="2"/>
        <scheme val="minor"/>
      </rPr>
      <t>: sisältää pudotusvalikon, jossa on kaksi tai useampi vaihtoehto.  Pudotusvalikkoon pääsee käsiksi klikkaamalla solua.</t>
    </r>
  </si>
  <si>
    <t xml:space="preserve"> • Jatkuvasyöttöinen biokaasureaktori, jossa on jatkuva tai puolijatkuva sekoitus.</t>
  </si>
  <si>
    <r>
      <rPr>
        <sz val="11"/>
        <color theme="0"/>
        <rFont val="Aptos Narrow"/>
        <family val="2"/>
      </rPr>
      <t>°</t>
    </r>
    <r>
      <rPr>
        <sz val="11"/>
        <color theme="0"/>
        <rFont val="Aptos Narrow"/>
        <family val="2"/>
        <scheme val="minor"/>
      </rPr>
      <t>C</t>
    </r>
  </si>
  <si>
    <r>
      <t>m</t>
    </r>
    <r>
      <rPr>
        <vertAlign val="superscript"/>
        <sz val="11"/>
        <color theme="0"/>
        <rFont val="Aptos Narrow"/>
        <family val="2"/>
        <scheme val="minor"/>
      </rPr>
      <t>3</t>
    </r>
  </si>
  <si>
    <t>Pudotusvalikko</t>
  </si>
  <si>
    <t xml:space="preserve">Huomioitu mahdolliset laimennukset </t>
  </si>
  <si>
    <t>Toteutuva metaanintuotto</t>
  </si>
  <si>
    <t>Lämmön erillistuotanto (lämpökattila)</t>
  </si>
  <si>
    <t>Tarvittaessa kuitenkin kaikki biokaasu voidaan käyttää muuhun kuin lämmön- tai CHP-tuotantoon, tällöin Tuotot ja kulut -välilehdellä lasketaan hinta ostolämmölle (ja ostosähkölle).</t>
  </si>
  <si>
    <t>Tämä on Biokaasulaskurin Excel-versio (märkä- ja puolikuivamädätys)</t>
  </si>
  <si>
    <t>Solut, joihin käyttäjä voi laittaa valintojaan (muut solut ovat lukittuja):</t>
  </si>
  <si>
    <t xml:space="preserve">Pikaohjeita </t>
  </si>
  <si>
    <t xml:space="preserve">Yhteydenotot ja palaute: </t>
  </si>
  <si>
    <r>
      <rPr>
        <b/>
        <sz val="14"/>
        <color theme="1"/>
        <rFont val="Aptos Narrow"/>
        <family val="2"/>
        <scheme val="minor"/>
      </rPr>
      <t>Solun kulmassa punainen neliö</t>
    </r>
    <r>
      <rPr>
        <sz val="14"/>
        <color theme="1"/>
        <rFont val="Aptos Narrow"/>
        <family val="2"/>
        <scheme val="minor"/>
      </rPr>
      <t>: muistiinpano avautuu, kun vie hiiren osoittimen solun päälle.</t>
    </r>
  </si>
  <si>
    <t>Vaikuttaa biokaasulaitoksen lämmönkulutuslaskelmaan</t>
  </si>
  <si>
    <t>Valinnainen: lämpöenergian kulutuslaskelmien oletusarvot</t>
  </si>
  <si>
    <t>€/MWh (tuotettu sähkö); voi muuttaa välilehdellä "7. Tuotot ja kulut".</t>
  </si>
  <si>
    <t>Esim. syyskuussa 2026 hinta 80-126 €/MWh (alv 0 %), jos oletetaan, että liikennekaasu on 100 % metaania</t>
  </si>
  <si>
    <t>Dekantterilinko (jos mädätteen linkoseparointi valittu)</t>
  </si>
  <si>
    <t>Tulos = Kate - Annuiteetti. Positiivinen luku tarkoittaa, että biokaasulaitos on kannattava.</t>
  </si>
  <si>
    <t>Käsittelyjäännös (separoimaton)</t>
  </si>
  <si>
    <t>Käsittelyjäännöksen käsittely, rahti ja levitys</t>
  </si>
  <si>
    <t>Kiinteän syötteen käsittely, esim. lastaus murskaimeen</t>
  </si>
  <si>
    <t xml:space="preserve">Tankkausasema </t>
  </si>
  <si>
    <t>Jos biokaasulaitokselle ei ole valittuna sähkökäyttöinen murskain (Tekniikka-välilehti), niin esim. traktorikäyttöisellä apavaunulla murskaus ja syöttö 8,5 €/tuoretonni</t>
  </si>
  <si>
    <t>Syötteen laimennusveden kustannus</t>
  </si>
  <si>
    <t>Kiinteän syötteeen (esim. nurmirehu) tuotantokustannus</t>
  </si>
  <si>
    <t>Liikennepolttoainetuotanto jälleenmyyjälle (paineistamaton kaasu)</t>
  </si>
  <si>
    <t>Liikennepolttoainetuotanto &amp; myynti omalta tankkausasemalta asiakkaille</t>
  </si>
  <si>
    <r>
      <t xml:space="preserve"> Separoitu kuivajae (tiheys 500 kg/m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)</t>
    </r>
  </si>
  <si>
    <r>
      <t xml:space="preserve"> Separoitu nestejae (tiheys 1000 kg/m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)</t>
    </r>
  </si>
  <si>
    <t xml:space="preserve"> Tuotettu määrä kiloina (1 kg = 13,9 kWh, jos kaasu on 100 % metaania)</t>
  </si>
  <si>
    <t>Myytävä määrä</t>
  </si>
  <si>
    <t xml:space="preserve"> Reaktorin prosessitilavuus (nestetilavuus) </t>
  </si>
  <si>
    <r>
      <t>G</t>
    </r>
    <r>
      <rPr>
        <b/>
        <sz val="11"/>
        <color theme="0"/>
        <rFont val="Aptos Narrow"/>
        <family val="2"/>
        <scheme val="minor"/>
      </rPr>
      <t xml:space="preserve"> = tuotto (Nm</t>
    </r>
    <r>
      <rPr>
        <b/>
        <vertAlign val="superscript"/>
        <sz val="11"/>
        <color theme="0"/>
        <rFont val="Aptos Narrow"/>
        <family val="2"/>
        <scheme val="minor"/>
      </rPr>
      <t>3</t>
    </r>
    <r>
      <rPr>
        <b/>
        <sz val="11"/>
        <color theme="0"/>
        <rFont val="Aptos Narrow"/>
        <family val="2"/>
        <scheme val="minor"/>
      </rPr>
      <t>CH</t>
    </r>
    <r>
      <rPr>
        <b/>
        <vertAlign val="subscript"/>
        <sz val="11"/>
        <color theme="0"/>
        <rFont val="Aptos Narrow"/>
        <family val="2"/>
        <scheme val="minor"/>
      </rPr>
      <t>4</t>
    </r>
    <r>
      <rPr>
        <b/>
        <sz val="11"/>
        <color theme="0"/>
        <rFont val="Aptos Narrow"/>
        <family val="2"/>
        <scheme val="minor"/>
      </rPr>
      <t>/d/m</t>
    </r>
    <r>
      <rPr>
        <b/>
        <vertAlign val="superscript"/>
        <sz val="11"/>
        <color theme="0"/>
        <rFont val="Aptos Narrow"/>
        <family val="2"/>
        <scheme val="minor"/>
      </rPr>
      <t xml:space="preserve">3 </t>
    </r>
    <r>
      <rPr>
        <b/>
        <sz val="11"/>
        <color theme="0"/>
        <rFont val="Aptos Narrow"/>
        <family val="2"/>
        <scheme val="minor"/>
      </rPr>
      <t>r.nestettä)</t>
    </r>
  </si>
  <si>
    <r>
      <t>B</t>
    </r>
    <r>
      <rPr>
        <vertAlign val="subscript"/>
        <sz val="11"/>
        <color theme="0"/>
        <rFont val="Aptos Narrow"/>
        <family val="2"/>
        <scheme val="minor"/>
      </rPr>
      <t>0</t>
    </r>
    <r>
      <rPr>
        <sz val="11"/>
        <color theme="0"/>
        <rFont val="Aptos Narrow"/>
        <family val="2"/>
        <scheme val="minor"/>
      </rPr>
      <t xml:space="preserve"> =  BMP (Nm</t>
    </r>
    <r>
      <rPr>
        <vertAlign val="superscript"/>
        <sz val="11"/>
        <color theme="0"/>
        <rFont val="Aptos Narrow"/>
        <family val="2"/>
        <scheme val="minor"/>
      </rPr>
      <t>3</t>
    </r>
    <r>
      <rPr>
        <sz val="11"/>
        <color theme="0"/>
        <rFont val="Aptos Narrow"/>
        <family val="2"/>
        <scheme val="minor"/>
      </rPr>
      <t>CH</t>
    </r>
    <r>
      <rPr>
        <vertAlign val="subscript"/>
        <sz val="11"/>
        <color theme="0"/>
        <rFont val="Aptos Narrow"/>
        <family val="2"/>
        <scheme val="minor"/>
      </rPr>
      <t>4</t>
    </r>
    <r>
      <rPr>
        <sz val="11"/>
        <color theme="0"/>
        <rFont val="Aptos Narrow"/>
        <family val="2"/>
        <scheme val="minor"/>
      </rPr>
      <t>/kg VS)</t>
    </r>
  </si>
  <si>
    <r>
      <t>L</t>
    </r>
    <r>
      <rPr>
        <sz val="11"/>
        <color theme="0"/>
        <rFont val="Aptos Narrow"/>
        <family val="2"/>
        <scheme val="minor"/>
      </rPr>
      <t xml:space="preserve"> = OLR </t>
    </r>
  </si>
  <si>
    <r>
      <t>S</t>
    </r>
    <r>
      <rPr>
        <i/>
        <vertAlign val="subscript"/>
        <sz val="11"/>
        <color theme="0"/>
        <rFont val="Aptos Narrow"/>
        <family val="2"/>
        <scheme val="minor"/>
      </rPr>
      <t>0</t>
    </r>
    <r>
      <rPr>
        <i/>
        <sz val="11"/>
        <color theme="0"/>
        <rFont val="Aptos Narrow"/>
        <family val="2"/>
        <scheme val="minor"/>
      </rPr>
      <t xml:space="preserve"> </t>
    </r>
    <r>
      <rPr>
        <sz val="11"/>
        <color theme="0"/>
        <rFont val="Aptos Narrow"/>
        <family val="2"/>
        <scheme val="minor"/>
      </rPr>
      <t>= syötteen VS (kg/m</t>
    </r>
    <r>
      <rPr>
        <vertAlign val="superscript"/>
        <sz val="11"/>
        <color theme="0"/>
        <rFont val="Aptos Narrow"/>
        <family val="2"/>
        <scheme val="minor"/>
      </rPr>
      <t>3</t>
    </r>
    <r>
      <rPr>
        <sz val="11"/>
        <color theme="0"/>
        <rFont val="Aptos Narrow"/>
        <family val="2"/>
        <scheme val="minor"/>
      </rPr>
      <t>)</t>
    </r>
  </si>
  <si>
    <r>
      <t>K</t>
    </r>
    <r>
      <rPr>
        <sz val="11"/>
        <color theme="0"/>
        <rFont val="Aptos Narrow"/>
        <family val="2"/>
        <scheme val="minor"/>
      </rPr>
      <t xml:space="preserve"> = kineettinen parametri</t>
    </r>
  </si>
  <si>
    <r>
      <t>Ok, =2+(0,0016)*EKSPONENTTI(0,06*S</t>
    </r>
    <r>
      <rPr>
        <vertAlign val="subscript"/>
        <sz val="11"/>
        <color theme="0"/>
        <rFont val="Aptos Narrow"/>
        <family val="2"/>
        <scheme val="minor"/>
      </rPr>
      <t>0</t>
    </r>
    <r>
      <rPr>
        <sz val="11"/>
        <color theme="0"/>
        <rFont val="Aptos Narrow"/>
        <family val="2"/>
        <scheme val="minor"/>
      </rPr>
      <t>)</t>
    </r>
  </si>
  <si>
    <r>
      <t>µ</t>
    </r>
    <r>
      <rPr>
        <vertAlign val="subscript"/>
        <sz val="11"/>
        <color theme="0"/>
        <rFont val="Aptos Narrow"/>
        <family val="2"/>
        <scheme val="minor"/>
      </rPr>
      <t>m</t>
    </r>
    <r>
      <rPr>
        <sz val="11"/>
        <color theme="0"/>
        <rFont val="Aptos Narrow"/>
        <family val="2"/>
        <scheme val="minor"/>
      </rPr>
      <t xml:space="preserve"> = max kasvunopeus</t>
    </r>
    <r>
      <rPr>
        <i/>
        <sz val="11"/>
        <color theme="0"/>
        <rFont val="Aptos Narrow"/>
        <family val="2"/>
        <scheme val="minor"/>
      </rPr>
      <t xml:space="preserve"> TÄSSÄ 35 astetta</t>
    </r>
  </si>
  <si>
    <r>
      <t>CH</t>
    </r>
    <r>
      <rPr>
        <vertAlign val="subscript"/>
        <sz val="11"/>
        <color theme="0"/>
        <rFont val="Aptos Narrow"/>
        <family val="2"/>
        <scheme val="minor"/>
      </rPr>
      <t>4</t>
    </r>
    <r>
      <rPr>
        <sz val="11"/>
        <color theme="0"/>
        <rFont val="Aptos Narrow"/>
        <family val="2"/>
        <scheme val="minor"/>
      </rPr>
      <t>-tuotto Nm</t>
    </r>
    <r>
      <rPr>
        <vertAlign val="superscript"/>
        <sz val="11"/>
        <color theme="0"/>
        <rFont val="Aptos Narrow"/>
        <family val="2"/>
        <scheme val="minor"/>
      </rPr>
      <t>3</t>
    </r>
    <r>
      <rPr>
        <sz val="11"/>
        <color theme="0"/>
        <rFont val="Aptos Narrow"/>
        <family val="2"/>
        <scheme val="minor"/>
      </rPr>
      <t>CH</t>
    </r>
    <r>
      <rPr>
        <vertAlign val="subscript"/>
        <sz val="11"/>
        <color theme="0"/>
        <rFont val="Aptos Narrow"/>
        <family val="2"/>
        <scheme val="minor"/>
      </rPr>
      <t>4</t>
    </r>
    <r>
      <rPr>
        <sz val="11"/>
        <color theme="0"/>
        <rFont val="Aptos Narrow"/>
        <family val="2"/>
        <scheme val="minor"/>
      </rPr>
      <t>/d</t>
    </r>
  </si>
  <si>
    <r>
      <t xml:space="preserve">BMP-toteuma </t>
    </r>
    <r>
      <rPr>
        <b/>
        <sz val="11"/>
        <color theme="0"/>
        <rFont val="Aptos Narrow"/>
        <family val="2"/>
        <scheme val="minor"/>
      </rPr>
      <t>R</t>
    </r>
  </si>
  <si>
    <r>
      <t xml:space="preserve">Reaktorin </t>
    </r>
    <r>
      <rPr>
        <b/>
        <sz val="11"/>
        <color theme="0"/>
        <rFont val="Aptos Narrow"/>
        <family val="2"/>
        <scheme val="minor"/>
      </rPr>
      <t>kok.</t>
    </r>
    <r>
      <rPr>
        <sz val="11"/>
        <color theme="0"/>
        <rFont val="Aptos Narrow"/>
        <family val="2"/>
        <scheme val="minor"/>
      </rPr>
      <t>tilavuus, V (m3)</t>
    </r>
  </si>
  <si>
    <r>
      <t xml:space="preserve">Eristeen lämmönjohtavuus  </t>
    </r>
    <r>
      <rPr>
        <i/>
        <sz val="10"/>
        <color theme="0"/>
        <rFont val="Aptos Narrow"/>
        <family val="2"/>
        <scheme val="minor"/>
      </rPr>
      <t>k</t>
    </r>
    <r>
      <rPr>
        <sz val="10"/>
        <color theme="0"/>
        <rFont val="Aptos Narrow"/>
        <family val="2"/>
        <scheme val="minor"/>
      </rPr>
      <t xml:space="preserve"> (W/mK)</t>
    </r>
  </si>
  <si>
    <r>
      <t>Reaktorin U-arvo (W/m</t>
    </r>
    <r>
      <rPr>
        <vertAlign val="superscript"/>
        <sz val="10"/>
        <color theme="0"/>
        <rFont val="Aptos Narrow"/>
        <family val="2"/>
        <scheme val="minor"/>
      </rPr>
      <t>2</t>
    </r>
    <r>
      <rPr>
        <sz val="10"/>
        <color theme="0"/>
        <rFont val="Aptos Narrow"/>
        <family val="2"/>
        <scheme val="minor"/>
      </rPr>
      <t>K)</t>
    </r>
  </si>
  <si>
    <r>
      <t>Lämpöhäviö ilmaan, E</t>
    </r>
    <r>
      <rPr>
        <b/>
        <vertAlign val="subscript"/>
        <sz val="11"/>
        <color theme="0"/>
        <rFont val="Aptos Narrow"/>
        <family val="2"/>
        <scheme val="minor"/>
      </rPr>
      <t>häviö</t>
    </r>
    <r>
      <rPr>
        <b/>
        <sz val="11"/>
        <color theme="0"/>
        <rFont val="Aptos Narrow"/>
        <family val="2"/>
        <scheme val="minor"/>
      </rPr>
      <t xml:space="preserve"> (kWh/v tai kk)</t>
    </r>
  </si>
  <si>
    <r>
      <t>Lämpöhäviö maahan, E</t>
    </r>
    <r>
      <rPr>
        <b/>
        <vertAlign val="subscript"/>
        <sz val="11"/>
        <color theme="0"/>
        <rFont val="Aptos Narrow"/>
        <family val="2"/>
        <scheme val="minor"/>
      </rPr>
      <t>häviö</t>
    </r>
    <r>
      <rPr>
        <b/>
        <sz val="11"/>
        <color theme="0"/>
        <rFont val="Aptos Narrow"/>
        <family val="2"/>
        <scheme val="minor"/>
      </rPr>
      <t xml:space="preserve"> (kWh/v tai kk)</t>
    </r>
  </si>
  <si>
    <t>Versio 2 (14. huhtikuuta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</si>
</sst>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8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8"/>
      <color rgb="FFFF0000"/>
      <name val="Aptos Narrow"/>
      <family val="2"/>
      <scheme val="minor"/>
    </font>
    <font>
      <sz val="9"/>
      <color theme="1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b/>
      <sz val="8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rgb="FFFF0000"/>
      <name val="Aptos Narrow"/>
      <family val="2"/>
      <scheme val="minor"/>
    </font>
    <font>
      <vertAlign val="subscript"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</font>
    <font>
      <b/>
      <i/>
      <sz val="11"/>
      <color theme="1"/>
      <name val="Aptos Narrow"/>
      <family val="2"/>
      <scheme val="minor"/>
    </font>
    <font>
      <i/>
      <sz val="1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8"/>
      <name val="Aptos Narrow"/>
      <family val="2"/>
      <scheme val="minor"/>
    </font>
    <font>
      <i/>
      <vertAlign val="superscript"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sz val="18"/>
      <color rgb="FF212529"/>
      <name val="Arial"/>
      <family val="2"/>
    </font>
    <font>
      <b/>
      <sz val="10"/>
      <color rgb="FFFFFFFF"/>
      <name val="Arial"/>
      <family val="2"/>
    </font>
    <font>
      <b/>
      <sz val="10"/>
      <color theme="1"/>
      <name val="Aptos Narrow"/>
      <family val="2"/>
      <scheme val="minor"/>
    </font>
    <font>
      <sz val="10"/>
      <color rgb="FFFF0000"/>
      <name val="Aptos Narrow"/>
      <family val="2"/>
      <scheme val="minor"/>
    </font>
    <font>
      <vertAlign val="subscript"/>
      <sz val="10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u/>
      <sz val="14"/>
      <color theme="10"/>
      <name val="Aptos Narrow"/>
      <family val="2"/>
      <scheme val="minor"/>
    </font>
    <font>
      <u/>
      <sz val="20"/>
      <color theme="10"/>
      <name val="Aptos Narrow"/>
      <family val="2"/>
      <scheme val="minor"/>
    </font>
    <font>
      <b/>
      <sz val="10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i/>
      <sz val="10"/>
      <color rgb="FFFF0000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u/>
      <sz val="16"/>
      <color theme="1"/>
      <name val="Aptos Narrow"/>
      <family val="2"/>
      <scheme val="minor"/>
    </font>
    <font>
      <i/>
      <sz val="14"/>
      <color theme="1"/>
      <name val="Aptos Narrow"/>
      <family val="2"/>
      <scheme val="minor"/>
    </font>
    <font>
      <b/>
      <sz val="16"/>
      <color rgb="FF212529"/>
      <name val="Aptos Narrow"/>
      <family val="2"/>
      <scheme val="minor"/>
    </font>
    <font>
      <b/>
      <sz val="10"/>
      <color rgb="FFFFFFFF"/>
      <name val="Aptos Narrow"/>
      <family val="2"/>
      <scheme val="minor"/>
    </font>
    <font>
      <b/>
      <sz val="14"/>
      <color rgb="FF212529"/>
      <name val="Aptos Narrow"/>
      <family val="2"/>
      <scheme val="minor"/>
    </font>
    <font>
      <b/>
      <sz val="10"/>
      <color rgb="FF212529"/>
      <name val="Aptos Narrow"/>
      <family val="2"/>
      <scheme val="minor"/>
    </font>
    <font>
      <sz val="10"/>
      <color rgb="FF212529"/>
      <name val="Aptos Narrow"/>
      <family val="2"/>
      <scheme val="minor"/>
    </font>
    <font>
      <vertAlign val="subscript"/>
      <sz val="11"/>
      <color theme="0"/>
      <name val="Aptos Narrow"/>
      <family val="2"/>
      <scheme val="minor"/>
    </font>
    <font>
      <sz val="14"/>
      <color rgb="FFFF0000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theme="0"/>
      <name val="Arial"/>
      <family val="2"/>
    </font>
    <font>
      <b/>
      <vertAlign val="subscript"/>
      <sz val="11"/>
      <color theme="0"/>
      <name val="Aptos Narrow"/>
      <family val="2"/>
      <scheme val="minor"/>
    </font>
    <font>
      <b/>
      <vertAlign val="superscript"/>
      <sz val="11"/>
      <color theme="0"/>
      <name val="Aptos Narrow"/>
      <family val="2"/>
      <scheme val="minor"/>
    </font>
    <font>
      <b/>
      <sz val="9"/>
      <color rgb="FFFFFFFF"/>
      <name val="Arial"/>
      <family val="2"/>
    </font>
    <font>
      <sz val="11"/>
      <name val="Aptos Narrow"/>
      <family val="2"/>
    </font>
    <font>
      <sz val="16"/>
      <name val="Aptos Narrow"/>
      <family val="2"/>
      <scheme val="minor"/>
    </font>
    <font>
      <b/>
      <vertAlign val="superscript"/>
      <sz val="10"/>
      <color theme="1"/>
      <name val="Aptos Narrow"/>
      <family val="2"/>
      <scheme val="minor"/>
    </font>
    <font>
      <b/>
      <vertAlign val="subscript"/>
      <sz val="10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i/>
      <sz val="10"/>
      <name val="Aptos Narrow"/>
      <family val="2"/>
      <scheme val="minor"/>
    </font>
    <font>
      <sz val="13.5"/>
      <name val="Aptos Narrow"/>
      <family val="2"/>
      <scheme val="minor"/>
    </font>
    <font>
      <u/>
      <sz val="10"/>
      <color theme="1"/>
      <name val="Aptos Narrow"/>
      <family val="2"/>
      <scheme val="minor"/>
    </font>
    <font>
      <b/>
      <i/>
      <sz val="11"/>
      <color theme="0"/>
      <name val="Aptos Narrow"/>
      <family val="2"/>
      <scheme val="minor"/>
    </font>
    <font>
      <vertAlign val="superscript"/>
      <sz val="11"/>
      <color theme="0"/>
      <name val="Aptos Narrow"/>
      <family val="2"/>
      <scheme val="minor"/>
    </font>
    <font>
      <sz val="11"/>
      <color theme="0"/>
      <name val="Aptos Narrow"/>
      <family val="2"/>
    </font>
    <font>
      <b/>
      <sz val="9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i/>
      <sz val="11"/>
      <color theme="0"/>
      <name val="Aptos Narrow"/>
      <family val="2"/>
      <scheme val="minor"/>
    </font>
    <font>
      <i/>
      <vertAlign val="subscript"/>
      <sz val="11"/>
      <color theme="0"/>
      <name val="Aptos Narrow"/>
      <family val="2"/>
      <scheme val="minor"/>
    </font>
    <font>
      <sz val="9"/>
      <color theme="0"/>
      <name val="Aptos Narrow"/>
      <family val="2"/>
      <scheme val="minor"/>
    </font>
    <font>
      <sz val="8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10"/>
      <color theme="0"/>
      <name val="Aptos Narrow"/>
      <family val="2"/>
      <scheme val="minor"/>
    </font>
    <font>
      <i/>
      <sz val="10"/>
      <color theme="0"/>
      <name val="Aptos Narrow"/>
      <family val="2"/>
      <scheme val="minor"/>
    </font>
    <font>
      <vertAlign val="superscript"/>
      <sz val="10"/>
      <color theme="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DB50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00B050"/>
      </left>
      <right/>
      <top/>
      <bottom style="thick">
        <color rgb="FF00B050"/>
      </bottom>
      <diagonal/>
    </border>
    <border>
      <left/>
      <right/>
      <top/>
      <bottom style="thick">
        <color rgb="FF00B050"/>
      </bottom>
      <diagonal/>
    </border>
  </borders>
  <cellStyleXfs count="4">
    <xf numFmtId="0" fontId="0" fillId="0" borderId="0"/>
    <xf numFmtId="9" fontId="19" fillId="0" borderId="0" applyFont="0" applyFill="0" applyBorder="0" applyAlignment="0" applyProtection="0"/>
    <xf numFmtId="0" fontId="19" fillId="5" borderId="7" applyNumberFormat="0" applyFont="0" applyAlignment="0" applyProtection="0"/>
    <xf numFmtId="0" fontId="27" fillId="0" borderId="0" applyNumberFormat="0" applyFill="0" applyBorder="0" applyAlignment="0" applyProtection="0"/>
  </cellStyleXfs>
  <cellXfs count="381">
    <xf numFmtId="0" fontId="0" fillId="0" borderId="0" xfId="0"/>
    <xf numFmtId="0" fontId="0" fillId="4" borderId="0" xfId="0" applyFill="1"/>
    <xf numFmtId="0" fontId="45" fillId="4" borderId="0" xfId="0" applyFont="1" applyFill="1"/>
    <xf numFmtId="0" fontId="46" fillId="4" borderId="0" xfId="3" applyFont="1" applyFill="1"/>
    <xf numFmtId="0" fontId="47" fillId="4" borderId="0" xfId="3" applyFont="1" applyFill="1"/>
    <xf numFmtId="0" fontId="44" fillId="4" borderId="0" xfId="0" applyFont="1" applyFill="1"/>
    <xf numFmtId="0" fontId="3" fillId="4" borderId="0" xfId="0" applyFont="1" applyFill="1"/>
    <xf numFmtId="0" fontId="33" fillId="4" borderId="0" xfId="0" applyFont="1" applyFill="1"/>
    <xf numFmtId="0" fontId="12" fillId="4" borderId="0" xfId="0" applyFont="1" applyFill="1"/>
    <xf numFmtId="0" fontId="22" fillId="6" borderId="1" xfId="0" applyFont="1" applyFill="1" applyBorder="1" applyAlignment="1">
      <alignment horizontal="center" vertical="top"/>
    </xf>
    <xf numFmtId="0" fontId="45" fillId="3" borderId="1" xfId="0" applyFont="1" applyFill="1" applyBorder="1" applyAlignment="1">
      <alignment horizontal="center"/>
    </xf>
    <xf numFmtId="0" fontId="45" fillId="10" borderId="1" xfId="0" applyFont="1" applyFill="1" applyBorder="1" applyAlignment="1">
      <alignment horizontal="center"/>
    </xf>
    <xf numFmtId="0" fontId="37" fillId="4" borderId="17" xfId="0" applyFont="1" applyFill="1" applyBorder="1" applyAlignment="1" applyProtection="1">
      <alignment horizontal="left" vertical="center"/>
      <protection hidden="1"/>
    </xf>
    <xf numFmtId="0" fontId="22" fillId="4" borderId="18" xfId="0" applyFont="1" applyFill="1" applyBorder="1" applyAlignment="1" applyProtection="1">
      <protection hidden="1"/>
    </xf>
    <xf numFmtId="0" fontId="0" fillId="4" borderId="0" xfId="0" applyFill="1" applyAlignment="1" applyProtection="1">
      <alignment horizontal="left"/>
      <protection hidden="1"/>
    </xf>
    <xf numFmtId="0" fontId="35" fillId="4" borderId="0" xfId="0" applyFont="1" applyFill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38" fillId="8" borderId="0" xfId="0" applyFont="1" applyFill="1" applyAlignment="1" applyProtection="1">
      <alignment horizontal="left" vertical="center"/>
      <protection hidden="1"/>
    </xf>
    <xf numFmtId="0" fontId="65" fillId="8" borderId="0" xfId="0" applyFont="1" applyFill="1" applyAlignment="1" applyProtection="1">
      <alignment horizontal="left" vertical="center"/>
      <protection hidden="1"/>
    </xf>
    <xf numFmtId="0" fontId="62" fillId="8" borderId="0" xfId="0" applyFont="1" applyFill="1" applyAlignment="1" applyProtection="1">
      <alignment horizontal="left" vertical="center"/>
      <protection hidden="1"/>
    </xf>
    <xf numFmtId="0" fontId="6" fillId="4" borderId="0" xfId="0" applyFont="1" applyFill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1" fillId="2" borderId="0" xfId="0" applyFont="1" applyFill="1" applyAlignment="1" applyProtection="1">
      <alignment horizontal="left"/>
      <protection hidden="1"/>
    </xf>
    <xf numFmtId="0" fontId="38" fillId="2" borderId="0" xfId="0" applyFont="1" applyFill="1" applyAlignment="1" applyProtection="1">
      <alignment horizontal="left" vertical="center"/>
      <protection hidden="1"/>
    </xf>
    <xf numFmtId="0" fontId="65" fillId="2" borderId="0" xfId="0" applyFont="1" applyFill="1" applyAlignment="1" applyProtection="1">
      <alignment horizontal="left" vertical="center"/>
      <protection hidden="1"/>
    </xf>
    <xf numFmtId="0" fontId="62" fillId="2" borderId="0" xfId="0" applyFont="1" applyFill="1" applyAlignment="1" applyProtection="1">
      <alignment horizontal="left" vertical="center"/>
      <protection hidden="1"/>
    </xf>
    <xf numFmtId="0" fontId="6" fillId="4" borderId="0" xfId="0" applyFont="1" applyFill="1" applyBorder="1" applyAlignment="1" applyProtection="1">
      <alignment horizontal="left"/>
      <protection hidden="1"/>
    </xf>
    <xf numFmtId="3" fontId="0" fillId="3" borderId="1" xfId="0" applyNumberFormat="1" applyFill="1" applyBorder="1" applyAlignment="1" applyProtection="1">
      <alignment horizontal="left"/>
      <protection hidden="1"/>
    </xf>
    <xf numFmtId="164" fontId="0" fillId="10" borderId="0" xfId="0" applyNumberFormat="1" applyFill="1" applyAlignment="1" applyProtection="1">
      <alignment horizontal="left"/>
      <protection hidden="1"/>
    </xf>
    <xf numFmtId="0" fontId="0" fillId="10" borderId="0" xfId="0" applyFill="1" applyAlignment="1" applyProtection="1">
      <alignment horizontal="left"/>
      <protection hidden="1"/>
    </xf>
    <xf numFmtId="0" fontId="0" fillId="6" borderId="1" xfId="0" applyFill="1" applyBorder="1" applyAlignment="1" applyProtection="1">
      <alignment horizontal="left"/>
      <protection hidden="1"/>
    </xf>
    <xf numFmtId="0" fontId="26" fillId="4" borderId="0" xfId="0" applyFont="1" applyFill="1" applyAlignment="1" applyProtection="1">
      <alignment horizontal="left"/>
      <protection hidden="1"/>
    </xf>
    <xf numFmtId="3" fontId="35" fillId="4" borderId="0" xfId="0" applyNumberFormat="1" applyFont="1" applyFill="1" applyBorder="1" applyAlignment="1" applyProtection="1">
      <alignment horizontal="left"/>
      <protection hidden="1"/>
    </xf>
    <xf numFmtId="0" fontId="35" fillId="0" borderId="0" xfId="0" applyFont="1" applyAlignment="1" applyProtection="1">
      <alignment horizontal="left"/>
      <protection hidden="1"/>
    </xf>
    <xf numFmtId="0" fontId="24" fillId="4" borderId="0" xfId="0" applyFont="1" applyFill="1" applyAlignment="1" applyProtection="1">
      <alignment horizontal="left"/>
      <protection hidden="1"/>
    </xf>
    <xf numFmtId="1" fontId="0" fillId="10" borderId="0" xfId="0" applyNumberFormat="1" applyFill="1" applyAlignment="1" applyProtection="1">
      <alignment horizontal="left"/>
      <protection hidden="1"/>
    </xf>
    <xf numFmtId="164" fontId="38" fillId="8" borderId="0" xfId="0" applyNumberFormat="1" applyFont="1" applyFill="1" applyAlignment="1" applyProtection="1">
      <alignment horizontal="left" vertical="center"/>
      <protection hidden="1"/>
    </xf>
    <xf numFmtId="1" fontId="38" fillId="8" borderId="0" xfId="0" applyNumberFormat="1" applyFont="1" applyFill="1" applyAlignment="1" applyProtection="1">
      <alignment horizontal="left" vertical="center"/>
      <protection hidden="1"/>
    </xf>
    <xf numFmtId="3" fontId="6" fillId="4" borderId="0" xfId="0" applyNumberFormat="1" applyFont="1" applyFill="1" applyAlignment="1" applyProtection="1">
      <alignment horizontal="left"/>
      <protection hidden="1"/>
    </xf>
    <xf numFmtId="0" fontId="39" fillId="2" borderId="0" xfId="0" applyFont="1" applyFill="1" applyAlignment="1" applyProtection="1">
      <alignment horizontal="left"/>
      <protection hidden="1"/>
    </xf>
    <xf numFmtId="3" fontId="39" fillId="2" borderId="0" xfId="0" applyNumberFormat="1" applyFont="1" applyFill="1" applyAlignment="1" applyProtection="1">
      <alignment horizontal="left"/>
      <protection hidden="1"/>
    </xf>
    <xf numFmtId="165" fontId="39" fillId="2" borderId="0" xfId="0" applyNumberFormat="1" applyFont="1" applyFill="1" applyAlignment="1" applyProtection="1">
      <alignment horizontal="left"/>
      <protection hidden="1"/>
    </xf>
    <xf numFmtId="0" fontId="39" fillId="4" borderId="0" xfId="0" applyFont="1" applyFill="1" applyAlignment="1" applyProtection="1">
      <alignment horizontal="left"/>
      <protection hidden="1"/>
    </xf>
    <xf numFmtId="3" fontId="70" fillId="4" borderId="0" xfId="0" applyNumberFormat="1" applyFont="1" applyFill="1" applyAlignment="1" applyProtection="1">
      <alignment horizontal="left"/>
      <protection hidden="1"/>
    </xf>
    <xf numFmtId="0" fontId="39" fillId="0" borderId="0" xfId="0" applyFont="1" applyAlignment="1" applyProtection="1">
      <alignment horizontal="left"/>
      <protection hidden="1"/>
    </xf>
    <xf numFmtId="3" fontId="0" fillId="4" borderId="0" xfId="0" applyNumberFormat="1" applyFill="1" applyAlignment="1" applyProtection="1">
      <alignment horizontal="left"/>
      <protection hidden="1"/>
    </xf>
    <xf numFmtId="0" fontId="1" fillId="4" borderId="0" xfId="0" applyFont="1" applyFill="1" applyAlignment="1" applyProtection="1">
      <alignment horizontal="left"/>
      <protection hidden="1"/>
    </xf>
    <xf numFmtId="3" fontId="1" fillId="4" borderId="0" xfId="0" applyNumberFormat="1" applyFont="1" applyFill="1" applyAlignment="1" applyProtection="1">
      <alignment horizontal="left"/>
      <protection hidden="1"/>
    </xf>
    <xf numFmtId="2" fontId="0" fillId="4" borderId="0" xfId="0" applyNumberFormat="1" applyFill="1" applyAlignment="1" applyProtection="1">
      <alignment horizontal="left"/>
      <protection hidden="1"/>
    </xf>
    <xf numFmtId="1" fontId="0" fillId="4" borderId="0" xfId="0" applyNumberFormat="1" applyFill="1" applyAlignment="1" applyProtection="1">
      <alignment horizontal="left"/>
      <protection hidden="1"/>
    </xf>
    <xf numFmtId="164" fontId="0" fillId="4" borderId="0" xfId="0" applyNumberFormat="1" applyFill="1" applyAlignment="1" applyProtection="1">
      <alignment horizontal="left"/>
      <protection hidden="1"/>
    </xf>
    <xf numFmtId="0" fontId="0" fillId="4" borderId="9" xfId="0" applyFill="1" applyBorder="1" applyAlignment="1" applyProtection="1">
      <alignment horizontal="left"/>
      <protection hidden="1"/>
    </xf>
    <xf numFmtId="0" fontId="6" fillId="4" borderId="0" xfId="0" applyFont="1" applyFill="1" applyBorder="1" applyProtection="1">
      <protection hidden="1"/>
    </xf>
    <xf numFmtId="0" fontId="35" fillId="4" borderId="0" xfId="0" applyFont="1" applyFill="1" applyBorder="1" applyAlignment="1" applyProtection="1">
      <alignment horizontal="left"/>
      <protection hidden="1"/>
    </xf>
    <xf numFmtId="0" fontId="35" fillId="4" borderId="0" xfId="0" applyFont="1" applyFill="1" applyBorder="1" applyProtection="1">
      <protection hidden="1"/>
    </xf>
    <xf numFmtId="0" fontId="0" fillId="4" borderId="0" xfId="0" applyFill="1" applyProtection="1">
      <protection hidden="1"/>
    </xf>
    <xf numFmtId="0" fontId="20" fillId="4" borderId="0" xfId="0" applyFont="1" applyFill="1" applyAlignment="1" applyProtection="1">
      <alignment horizontal="left" vertical="top"/>
      <protection hidden="1"/>
    </xf>
    <xf numFmtId="0" fontId="0" fillId="4" borderId="0" xfId="0" applyFill="1" applyAlignment="1" applyProtection="1">
      <alignment horizontal="right"/>
      <protection hidden="1"/>
    </xf>
    <xf numFmtId="3" fontId="0" fillId="4" borderId="0" xfId="0" applyNumberFormat="1" applyFill="1" applyProtection="1">
      <protection hidden="1"/>
    </xf>
    <xf numFmtId="0" fontId="0" fillId="4" borderId="0" xfId="0" applyFont="1" applyFill="1" applyProtection="1">
      <protection hidden="1"/>
    </xf>
    <xf numFmtId="0" fontId="28" fillId="4" borderId="0" xfId="0" applyFont="1" applyFill="1" applyProtection="1">
      <protection hidden="1"/>
    </xf>
    <xf numFmtId="2" fontId="1" fillId="4" borderId="0" xfId="0" applyNumberFormat="1" applyFont="1" applyFill="1" applyAlignment="1" applyProtection="1">
      <alignment horizontal="right"/>
      <protection hidden="1"/>
    </xf>
    <xf numFmtId="0" fontId="1" fillId="4" borderId="0" xfId="0" applyFont="1" applyFill="1" applyProtection="1">
      <protection hidden="1"/>
    </xf>
    <xf numFmtId="0" fontId="26" fillId="4" borderId="0" xfId="0" applyFont="1" applyFill="1" applyProtection="1">
      <protection hidden="1"/>
    </xf>
    <xf numFmtId="3" fontId="1" fillId="4" borderId="0" xfId="0" applyNumberFormat="1" applyFont="1" applyFill="1" applyAlignment="1" applyProtection="1">
      <alignment horizontal="right"/>
      <protection hidden="1"/>
    </xf>
    <xf numFmtId="166" fontId="0" fillId="4" borderId="0" xfId="0" applyNumberFormat="1" applyFill="1" applyProtection="1">
      <protection hidden="1"/>
    </xf>
    <xf numFmtId="2" fontId="0" fillId="4" borderId="0" xfId="0" applyNumberFormat="1" applyFill="1" applyProtection="1">
      <protection hidden="1"/>
    </xf>
    <xf numFmtId="0" fontId="1" fillId="2" borderId="0" xfId="0" applyFont="1" applyFill="1" applyProtection="1">
      <protection hidden="1"/>
    </xf>
    <xf numFmtId="2" fontId="1" fillId="2" borderId="0" xfId="0" applyNumberFormat="1" applyFont="1" applyFill="1" applyAlignment="1" applyProtection="1">
      <alignment horizontal="right"/>
      <protection hidden="1"/>
    </xf>
    <xf numFmtId="0" fontId="30" fillId="4" borderId="0" xfId="0" applyFont="1" applyFill="1" applyProtection="1">
      <protection hidden="1"/>
    </xf>
    <xf numFmtId="2" fontId="1" fillId="4" borderId="0" xfId="0" applyNumberFormat="1" applyFont="1" applyFill="1" applyProtection="1">
      <protection hidden="1"/>
    </xf>
    <xf numFmtId="3" fontId="0" fillId="4" borderId="0" xfId="0" applyNumberFormat="1" applyFont="1" applyFill="1" applyAlignment="1" applyProtection="1">
      <alignment horizontal="right"/>
      <protection hidden="1"/>
    </xf>
    <xf numFmtId="164" fontId="28" fillId="4" borderId="0" xfId="0" applyNumberFormat="1" applyFont="1" applyFill="1" applyAlignment="1" applyProtection="1">
      <alignment horizontal="right"/>
      <protection hidden="1"/>
    </xf>
    <xf numFmtId="0" fontId="16" fillId="4" borderId="0" xfId="0" applyFont="1" applyFill="1" applyProtection="1">
      <protection hidden="1"/>
    </xf>
    <xf numFmtId="2" fontId="16" fillId="4" borderId="0" xfId="0" applyNumberFormat="1" applyFont="1" applyFill="1" applyAlignment="1" applyProtection="1">
      <alignment horizontal="right"/>
      <protection hidden="1"/>
    </xf>
    <xf numFmtId="0" fontId="38" fillId="4" borderId="0" xfId="0" applyFont="1" applyFill="1" applyAlignment="1" applyProtection="1">
      <alignment horizontal="left" vertical="center"/>
      <protection hidden="1"/>
    </xf>
    <xf numFmtId="164" fontId="0" fillId="10" borderId="1" xfId="0" applyNumberFormat="1" applyFill="1" applyBorder="1" applyAlignment="1" applyProtection="1">
      <alignment horizontal="right"/>
      <protection hidden="1"/>
    </xf>
    <xf numFmtId="1" fontId="0" fillId="10" borderId="1" xfId="0" applyNumberFormat="1" applyFill="1" applyBorder="1" applyAlignment="1" applyProtection="1">
      <alignment horizontal="right"/>
      <protection hidden="1"/>
    </xf>
    <xf numFmtId="1" fontId="16" fillId="4" borderId="0" xfId="0" applyNumberFormat="1" applyFont="1" applyFill="1" applyAlignment="1" applyProtection="1">
      <alignment horizontal="left"/>
      <protection hidden="1"/>
    </xf>
    <xf numFmtId="1" fontId="0" fillId="4" borderId="0" xfId="0" applyNumberFormat="1" applyFill="1" applyAlignment="1" applyProtection="1">
      <alignment horizontal="right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Fill="1" applyProtection="1">
      <protection hidden="1"/>
    </xf>
    <xf numFmtId="0" fontId="0" fillId="4" borderId="0" xfId="0" applyFill="1" applyAlignment="1" applyProtection="1">
      <alignment horizontal="left" vertical="top"/>
      <protection hidden="1"/>
    </xf>
    <xf numFmtId="0" fontId="21" fillId="4" borderId="0" xfId="0" applyFont="1" applyFill="1" applyAlignment="1" applyProtection="1">
      <alignment horizontal="left" vertical="top"/>
      <protection hidden="1"/>
    </xf>
    <xf numFmtId="0" fontId="21" fillId="4" borderId="0" xfId="0" applyFont="1" applyFill="1" applyAlignment="1" applyProtection="1">
      <alignment horizontal="right" vertical="top"/>
      <protection hidden="1"/>
    </xf>
    <xf numFmtId="0" fontId="26" fillId="4" borderId="0" xfId="0" applyFont="1" applyFill="1" applyAlignment="1" applyProtection="1">
      <alignment horizontal="left" vertical="top"/>
      <protection hidden="1"/>
    </xf>
    <xf numFmtId="0" fontId="1" fillId="4" borderId="0" xfId="0" applyFont="1" applyFill="1" applyBorder="1" applyAlignment="1" applyProtection="1">
      <alignment horizontal="left" vertical="top" wrapText="1"/>
      <protection hidden="1"/>
    </xf>
    <xf numFmtId="0" fontId="1" fillId="4" borderId="0" xfId="0" applyFont="1" applyFill="1" applyBorder="1" applyAlignment="1" applyProtection="1">
      <alignment horizontal="center" vertical="top" wrapText="1"/>
      <protection hidden="1"/>
    </xf>
    <xf numFmtId="0" fontId="0" fillId="10" borderId="1" xfId="0" applyFill="1" applyBorder="1" applyAlignment="1" applyProtection="1">
      <alignment horizontal="center" vertical="top"/>
      <protection hidden="1"/>
    </xf>
    <xf numFmtId="1" fontId="0" fillId="4" borderId="0" xfId="0" applyNumberFormat="1" applyFill="1" applyAlignment="1" applyProtection="1">
      <alignment horizontal="center" vertical="top"/>
      <protection hidden="1"/>
    </xf>
    <xf numFmtId="0" fontId="1" fillId="6" borderId="1" xfId="0" applyFont="1" applyFill="1" applyBorder="1" applyAlignment="1" applyProtection="1">
      <alignment horizontal="center" vertical="top"/>
      <protection hidden="1"/>
    </xf>
    <xf numFmtId="0" fontId="1" fillId="4" borderId="0" xfId="0" applyFont="1" applyFill="1" applyAlignment="1" applyProtection="1">
      <alignment horizontal="left" vertical="top"/>
      <protection hidden="1"/>
    </xf>
    <xf numFmtId="0" fontId="0" fillId="4" borderId="0" xfId="0" applyFill="1" applyBorder="1" applyAlignment="1" applyProtection="1">
      <alignment horizontal="left" vertical="top"/>
      <protection hidden="1"/>
    </xf>
    <xf numFmtId="0" fontId="36" fillId="4" borderId="0" xfId="0" applyFont="1" applyFill="1" applyAlignment="1" applyProtection="1">
      <alignment horizontal="left" vertical="top"/>
      <protection hidden="1"/>
    </xf>
    <xf numFmtId="0" fontId="20" fillId="4" borderId="2" xfId="0" applyFont="1" applyFill="1" applyBorder="1" applyAlignment="1" applyProtection="1">
      <alignment horizontal="left" vertical="top"/>
      <protection hidden="1"/>
    </xf>
    <xf numFmtId="0" fontId="0" fillId="4" borderId="2" xfId="0" applyFill="1" applyBorder="1" applyAlignment="1" applyProtection="1">
      <alignment horizontal="left" vertical="top"/>
      <protection hidden="1"/>
    </xf>
    <xf numFmtId="0" fontId="0" fillId="10" borderId="1" xfId="0" applyFill="1" applyBorder="1" applyAlignment="1" applyProtection="1">
      <alignment horizontal="right" vertical="top"/>
      <protection hidden="1"/>
    </xf>
    <xf numFmtId="1" fontId="0" fillId="4" borderId="0" xfId="0" applyNumberFormat="1" applyFill="1" applyAlignment="1" applyProtection="1">
      <alignment horizontal="right" vertical="top"/>
      <protection hidden="1"/>
    </xf>
    <xf numFmtId="2" fontId="0" fillId="4" borderId="0" xfId="0" applyNumberFormat="1" applyFill="1" applyAlignment="1" applyProtection="1">
      <alignment horizontal="right" vertical="top"/>
      <protection hidden="1"/>
    </xf>
    <xf numFmtId="164" fontId="0" fillId="4" borderId="0" xfId="0" applyNumberFormat="1" applyFill="1" applyAlignment="1" applyProtection="1">
      <alignment horizontal="right" vertical="top"/>
      <protection hidden="1"/>
    </xf>
    <xf numFmtId="0" fontId="1" fillId="6" borderId="1" xfId="0" applyFont="1" applyFill="1" applyBorder="1" applyAlignment="1" applyProtection="1">
      <alignment horizontal="left" vertical="top"/>
      <protection hidden="1"/>
    </xf>
    <xf numFmtId="0" fontId="24" fillId="4" borderId="0" xfId="0" applyFont="1" applyFill="1" applyAlignment="1" applyProtection="1">
      <alignment horizontal="left" vertical="top"/>
      <protection hidden="1"/>
    </xf>
    <xf numFmtId="3" fontId="0" fillId="4" borderId="0" xfId="0" applyNumberFormat="1" applyFill="1" applyAlignment="1" applyProtection="1">
      <alignment horizontal="right" vertical="top"/>
      <protection hidden="1"/>
    </xf>
    <xf numFmtId="3" fontId="0" fillId="10" borderId="1" xfId="0" applyNumberFormat="1" applyFill="1" applyBorder="1" applyAlignment="1" applyProtection="1">
      <alignment horizontal="right" vertical="top"/>
      <protection hidden="1"/>
    </xf>
    <xf numFmtId="3" fontId="0" fillId="4" borderId="0" xfId="0" applyNumberFormat="1" applyFill="1" applyBorder="1" applyAlignment="1" applyProtection="1">
      <alignment horizontal="right" vertical="top"/>
      <protection hidden="1"/>
    </xf>
    <xf numFmtId="0" fontId="43" fillId="4" borderId="0" xfId="0" applyFont="1" applyFill="1" applyAlignment="1" applyProtection="1">
      <alignment horizontal="left" vertical="top"/>
      <protection hidden="1"/>
    </xf>
    <xf numFmtId="0" fontId="3" fillId="4" borderId="0" xfId="0" applyFont="1" applyFill="1" applyAlignment="1" applyProtection="1">
      <alignment horizontal="left" vertical="top"/>
      <protection hidden="1"/>
    </xf>
    <xf numFmtId="3" fontId="3" fillId="4" borderId="0" xfId="0" applyNumberFormat="1" applyFont="1" applyFill="1" applyBorder="1" applyAlignment="1" applyProtection="1">
      <alignment horizontal="right" vertical="top"/>
      <protection hidden="1"/>
    </xf>
    <xf numFmtId="0" fontId="0" fillId="4" borderId="0" xfId="0" applyFill="1" applyAlignment="1" applyProtection="1">
      <alignment horizontal="right" vertical="top"/>
      <protection hidden="1"/>
    </xf>
    <xf numFmtId="164" fontId="0" fillId="10" borderId="1" xfId="0" applyNumberFormat="1" applyFill="1" applyBorder="1" applyAlignment="1" applyProtection="1">
      <alignment horizontal="right" vertical="top"/>
      <protection hidden="1"/>
    </xf>
    <xf numFmtId="0" fontId="23" fillId="4" borderId="0" xfId="0" applyFont="1" applyFill="1" applyAlignment="1" applyProtection="1">
      <alignment horizontal="left" vertical="top"/>
      <protection hidden="1"/>
    </xf>
    <xf numFmtId="0" fontId="28" fillId="4" borderId="0" xfId="0" applyFont="1" applyFill="1" applyAlignment="1" applyProtection="1">
      <alignment horizontal="left" vertical="top"/>
      <protection hidden="1"/>
    </xf>
    <xf numFmtId="0" fontId="28" fillId="4" borderId="0" xfId="0" applyFont="1" applyFill="1" applyBorder="1" applyAlignment="1" applyProtection="1">
      <alignment horizontal="left" vertical="top"/>
      <protection hidden="1"/>
    </xf>
    <xf numFmtId="1" fontId="35" fillId="4" borderId="0" xfId="0" applyNumberFormat="1" applyFont="1" applyFill="1" applyBorder="1" applyAlignment="1" applyProtection="1">
      <alignment horizontal="left"/>
      <protection hidden="1"/>
    </xf>
    <xf numFmtId="0" fontId="35" fillId="4" borderId="0" xfId="0" applyFont="1" applyFill="1" applyBorder="1" applyAlignment="1" applyProtection="1">
      <alignment horizontal="left" vertical="top"/>
      <protection hidden="1"/>
    </xf>
    <xf numFmtId="0" fontId="74" fillId="4" borderId="0" xfId="0" applyFont="1" applyFill="1" applyBorder="1" applyAlignment="1" applyProtection="1">
      <alignment horizontal="left"/>
      <protection hidden="1"/>
    </xf>
    <xf numFmtId="0" fontId="0" fillId="0" borderId="0" xfId="0" applyBorder="1" applyAlignment="1" applyProtection="1">
      <alignment horizontal="left" vertical="top"/>
      <protection hidden="1"/>
    </xf>
    <xf numFmtId="0" fontId="0" fillId="0" borderId="0" xfId="0" applyAlignment="1" applyProtection="1">
      <alignment horizontal="left" vertical="top"/>
      <protection hidden="1"/>
    </xf>
    <xf numFmtId="164" fontId="35" fillId="4" borderId="0" xfId="0" applyNumberFormat="1" applyFont="1" applyFill="1" applyBorder="1" applyAlignment="1" applyProtection="1">
      <alignment horizontal="left"/>
      <protection hidden="1"/>
    </xf>
    <xf numFmtId="0" fontId="74" fillId="4" borderId="0" xfId="0" applyFont="1" applyFill="1" applyBorder="1" applyAlignment="1" applyProtection="1">
      <alignment horizontal="left" vertical="center"/>
      <protection hidden="1"/>
    </xf>
    <xf numFmtId="2" fontId="6" fillId="4" borderId="0" xfId="0" applyNumberFormat="1" applyFont="1" applyFill="1" applyBorder="1" applyAlignment="1" applyProtection="1">
      <alignment horizontal="left"/>
      <protection hidden="1"/>
    </xf>
    <xf numFmtId="0" fontId="79" fillId="4" borderId="0" xfId="0" applyFont="1" applyFill="1" applyBorder="1" applyAlignment="1" applyProtection="1">
      <alignment horizontal="left" vertical="center"/>
      <protection hidden="1"/>
    </xf>
    <xf numFmtId="166" fontId="35" fillId="4" borderId="0" xfId="0" applyNumberFormat="1" applyFont="1" applyFill="1" applyBorder="1" applyAlignment="1" applyProtection="1">
      <alignment horizontal="left"/>
      <protection hidden="1"/>
    </xf>
    <xf numFmtId="2" fontId="35" fillId="4" borderId="0" xfId="0" applyNumberFormat="1" applyFont="1" applyFill="1" applyBorder="1" applyAlignment="1" applyProtection="1">
      <alignment horizontal="left"/>
      <protection hidden="1"/>
    </xf>
    <xf numFmtId="0" fontId="35" fillId="4" borderId="0" xfId="0" applyFont="1" applyFill="1" applyBorder="1" applyAlignment="1" applyProtection="1">
      <alignment horizontal="left" vertical="center"/>
      <protection hidden="1"/>
    </xf>
    <xf numFmtId="9" fontId="6" fillId="4" borderId="0" xfId="1" applyFont="1" applyFill="1" applyBorder="1" applyAlignment="1" applyProtection="1">
      <alignment horizontal="left"/>
      <protection hidden="1"/>
    </xf>
    <xf numFmtId="0" fontId="67" fillId="4" borderId="0" xfId="0" applyFont="1" applyFill="1" applyProtection="1">
      <protection hidden="1"/>
    </xf>
    <xf numFmtId="0" fontId="0" fillId="4" borderId="0" xfId="0" applyFont="1" applyFill="1" applyAlignment="1" applyProtection="1">
      <alignment horizontal="center"/>
      <protection hidden="1"/>
    </xf>
    <xf numFmtId="3" fontId="1" fillId="4" borderId="0" xfId="0" applyNumberFormat="1" applyFont="1" applyFill="1" applyBorder="1" applyAlignment="1" applyProtection="1">
      <alignment horizontal="right"/>
      <protection hidden="1"/>
    </xf>
    <xf numFmtId="10" fontId="0" fillId="4" borderId="0" xfId="1" applyNumberFormat="1" applyFont="1" applyFill="1" applyProtection="1">
      <protection hidden="1"/>
    </xf>
    <xf numFmtId="3" fontId="0" fillId="4" borderId="0" xfId="0" applyNumberFormat="1" applyFont="1" applyFill="1" applyBorder="1" applyAlignment="1" applyProtection="1">
      <alignment horizontal="center"/>
      <protection hidden="1"/>
    </xf>
    <xf numFmtId="0" fontId="14" fillId="4" borderId="0" xfId="0" applyFont="1" applyFill="1" applyProtection="1">
      <protection hidden="1"/>
    </xf>
    <xf numFmtId="0" fontId="31" fillId="4" borderId="0" xfId="0" applyFont="1" applyFill="1" applyProtection="1">
      <protection hidden="1"/>
    </xf>
    <xf numFmtId="0" fontId="55" fillId="8" borderId="0" xfId="0" applyFont="1" applyFill="1" applyAlignment="1" applyProtection="1">
      <alignment horizontal="left" vertical="center"/>
      <protection hidden="1"/>
    </xf>
    <xf numFmtId="0" fontId="55" fillId="4" borderId="0" xfId="0" applyFont="1" applyFill="1" applyAlignment="1" applyProtection="1">
      <alignment horizontal="left" vertical="center"/>
      <protection hidden="1"/>
    </xf>
    <xf numFmtId="165" fontId="0" fillId="4" borderId="0" xfId="0" applyNumberFormat="1" applyFont="1" applyFill="1" applyBorder="1" applyAlignment="1" applyProtection="1">
      <alignment horizontal="right"/>
      <protection hidden="1"/>
    </xf>
    <xf numFmtId="1" fontId="0" fillId="4" borderId="0" xfId="0" applyNumberFormat="1" applyFont="1" applyFill="1" applyProtection="1">
      <protection hidden="1"/>
    </xf>
    <xf numFmtId="164" fontId="0" fillId="10" borderId="1" xfId="0" applyNumberFormat="1" applyFont="1" applyFill="1" applyBorder="1" applyAlignment="1" applyProtection="1">
      <alignment horizontal="right"/>
      <protection hidden="1"/>
    </xf>
    <xf numFmtId="165" fontId="0" fillId="4" borderId="0" xfId="0" applyNumberFormat="1" applyFont="1" applyFill="1" applyAlignment="1" applyProtection="1">
      <alignment horizontal="right"/>
      <protection hidden="1"/>
    </xf>
    <xf numFmtId="0" fontId="0" fillId="4" borderId="0" xfId="0" applyFont="1" applyFill="1" applyAlignment="1" applyProtection="1">
      <alignment horizontal="right"/>
      <protection hidden="1"/>
    </xf>
    <xf numFmtId="0" fontId="0" fillId="4" borderId="0" xfId="0" applyFont="1" applyFill="1" applyBorder="1" applyProtection="1">
      <protection hidden="1"/>
    </xf>
    <xf numFmtId="0" fontId="0" fillId="4" borderId="0" xfId="0" applyFont="1" applyFill="1" applyBorder="1" applyAlignment="1" applyProtection="1">
      <alignment horizontal="center"/>
      <protection hidden="1"/>
    </xf>
    <xf numFmtId="1" fontId="0" fillId="4" borderId="0" xfId="0" applyNumberFormat="1" applyFont="1" applyFill="1" applyBorder="1" applyProtection="1">
      <protection hidden="1"/>
    </xf>
    <xf numFmtId="164" fontId="0" fillId="10" borderId="5" xfId="0" applyNumberFormat="1" applyFont="1" applyFill="1" applyBorder="1" applyAlignment="1" applyProtection="1">
      <alignment horizontal="right"/>
      <protection hidden="1"/>
    </xf>
    <xf numFmtId="0" fontId="26" fillId="4" borderId="0" xfId="0" applyFont="1" applyFill="1" applyBorder="1" applyProtection="1">
      <protection hidden="1"/>
    </xf>
    <xf numFmtId="0" fontId="1" fillId="4" borderId="10" xfId="0" applyFont="1" applyFill="1" applyBorder="1" applyProtection="1">
      <protection hidden="1"/>
    </xf>
    <xf numFmtId="165" fontId="0" fillId="4" borderId="10" xfId="0" applyNumberFormat="1" applyFont="1" applyFill="1" applyBorder="1" applyAlignment="1" applyProtection="1">
      <alignment horizontal="right"/>
      <protection hidden="1"/>
    </xf>
    <xf numFmtId="0" fontId="0" fillId="4" borderId="10" xfId="0" applyFont="1" applyFill="1" applyBorder="1" applyProtection="1">
      <protection hidden="1"/>
    </xf>
    <xf numFmtId="1" fontId="0" fillId="4" borderId="10" xfId="0" applyNumberFormat="1" applyFont="1" applyFill="1" applyBorder="1" applyProtection="1">
      <protection hidden="1"/>
    </xf>
    <xf numFmtId="0" fontId="26" fillId="4" borderId="10" xfId="0" applyFont="1" applyFill="1" applyBorder="1" applyProtection="1">
      <protection hidden="1"/>
    </xf>
    <xf numFmtId="0" fontId="1" fillId="4" borderId="9" xfId="0" applyFont="1" applyFill="1" applyBorder="1" applyProtection="1">
      <protection hidden="1"/>
    </xf>
    <xf numFmtId="165" fontId="0" fillId="4" borderId="9" xfId="0" applyNumberFormat="1" applyFont="1" applyFill="1" applyBorder="1" applyAlignment="1" applyProtection="1">
      <alignment horizontal="right"/>
      <protection hidden="1"/>
    </xf>
    <xf numFmtId="0" fontId="0" fillId="4" borderId="9" xfId="0" applyFont="1" applyFill="1" applyBorder="1" applyProtection="1">
      <protection hidden="1"/>
    </xf>
    <xf numFmtId="1" fontId="0" fillId="4" borderId="9" xfId="0" applyNumberFormat="1" applyFont="1" applyFill="1" applyBorder="1" applyProtection="1">
      <protection hidden="1"/>
    </xf>
    <xf numFmtId="164" fontId="0" fillId="4" borderId="9" xfId="0" applyNumberFormat="1" applyFont="1" applyFill="1" applyBorder="1" applyAlignment="1" applyProtection="1">
      <alignment horizontal="right"/>
      <protection hidden="1"/>
    </xf>
    <xf numFmtId="0" fontId="26" fillId="4" borderId="9" xfId="0" applyFont="1" applyFill="1" applyBorder="1" applyProtection="1">
      <protection hidden="1"/>
    </xf>
    <xf numFmtId="0" fontId="3" fillId="4" borderId="0" xfId="0" applyFont="1" applyFill="1" applyProtection="1">
      <protection hidden="1"/>
    </xf>
    <xf numFmtId="0" fontId="51" fillId="4" borderId="0" xfId="0" applyFont="1" applyFill="1" applyAlignment="1" applyProtection="1">
      <alignment horizontal="left"/>
      <protection hidden="1"/>
    </xf>
    <xf numFmtId="0" fontId="22" fillId="4" borderId="0" xfId="0" applyFont="1" applyFill="1" applyProtection="1">
      <protection hidden="1"/>
    </xf>
    <xf numFmtId="0" fontId="8" fillId="4" borderId="0" xfId="0" applyFont="1" applyFill="1" applyAlignment="1" applyProtection="1">
      <alignment vertical="center" wrapText="1"/>
      <protection hidden="1"/>
    </xf>
    <xf numFmtId="0" fontId="8" fillId="4" borderId="0" xfId="0" applyFont="1" applyFill="1" applyAlignment="1" applyProtection="1">
      <alignment horizontal="center"/>
      <protection hidden="1"/>
    </xf>
    <xf numFmtId="164" fontId="8" fillId="4" borderId="0" xfId="0" applyNumberFormat="1" applyFont="1" applyFill="1" applyAlignment="1" applyProtection="1">
      <alignment horizontal="left"/>
      <protection hidden="1"/>
    </xf>
    <xf numFmtId="0" fontId="8" fillId="4" borderId="0" xfId="0" applyFont="1" applyFill="1" applyProtection="1">
      <protection hidden="1"/>
    </xf>
    <xf numFmtId="165" fontId="8" fillId="4" borderId="0" xfId="0" applyNumberFormat="1" applyFont="1" applyFill="1" applyBorder="1" applyAlignment="1" applyProtection="1">
      <alignment horizontal="center" vertical="center" wrapText="1"/>
      <protection hidden="1"/>
    </xf>
    <xf numFmtId="164" fontId="8" fillId="4" borderId="0" xfId="0" applyNumberFormat="1" applyFont="1" applyFill="1" applyBorder="1" applyAlignment="1" applyProtection="1">
      <alignment horizontal="center" vertical="center" wrapText="1"/>
      <protection hidden="1"/>
    </xf>
    <xf numFmtId="0" fontId="55" fillId="4" borderId="0" xfId="0" applyFont="1" applyFill="1" applyAlignment="1" applyProtection="1">
      <alignment horizontal="center" vertical="center"/>
      <protection hidden="1"/>
    </xf>
    <xf numFmtId="0" fontId="8" fillId="4" borderId="0" xfId="0" applyFont="1" applyFill="1" applyAlignment="1" applyProtection="1">
      <protection hidden="1"/>
    </xf>
    <xf numFmtId="0" fontId="8" fillId="7" borderId="0" xfId="0" applyFont="1" applyFill="1" applyAlignment="1" applyProtection="1">
      <alignment horizontal="left" vertical="center" wrapText="1"/>
      <protection hidden="1"/>
    </xf>
    <xf numFmtId="165" fontId="8" fillId="10" borderId="1" xfId="0" applyNumberFormat="1" applyFont="1" applyFill="1" applyBorder="1" applyAlignment="1" applyProtection="1">
      <alignment horizontal="center" vertical="center" wrapText="1"/>
      <protection hidden="1"/>
    </xf>
    <xf numFmtId="164" fontId="8" fillId="3" borderId="1" xfId="0" applyNumberFormat="1" applyFont="1" applyFill="1" applyBorder="1" applyAlignment="1" applyProtection="1">
      <alignment horizontal="left" vertical="center" wrapText="1"/>
      <protection hidden="1"/>
    </xf>
    <xf numFmtId="0" fontId="8" fillId="7" borderId="0" xfId="0" applyFont="1" applyFill="1" applyAlignment="1" applyProtection="1">
      <alignment vertical="center" wrapText="1"/>
      <protection hidden="1"/>
    </xf>
    <xf numFmtId="0" fontId="55" fillId="8" borderId="0" xfId="0" applyFont="1" applyFill="1" applyAlignment="1" applyProtection="1">
      <alignment horizontal="center" vertical="center"/>
      <protection hidden="1"/>
    </xf>
    <xf numFmtId="0" fontId="8" fillId="7" borderId="0" xfId="0" applyFont="1" applyFill="1" applyBorder="1" applyAlignment="1" applyProtection="1">
      <alignment horizontal="left" vertical="center" wrapText="1"/>
      <protection hidden="1"/>
    </xf>
    <xf numFmtId="165" fontId="8" fillId="7" borderId="0" xfId="0" applyNumberFormat="1" applyFont="1" applyFill="1" applyBorder="1" applyAlignment="1" applyProtection="1">
      <alignment horizontal="left" vertical="center" wrapText="1"/>
      <protection hidden="1"/>
    </xf>
    <xf numFmtId="0" fontId="8" fillId="4" borderId="0" xfId="0" applyFont="1" applyFill="1" applyBorder="1" applyAlignment="1" applyProtection="1">
      <alignment horizontal="left"/>
      <protection hidden="1"/>
    </xf>
    <xf numFmtId="165" fontId="8" fillId="11" borderId="0" xfId="0" applyNumberFormat="1" applyFont="1" applyFill="1" applyBorder="1" applyAlignment="1" applyProtection="1">
      <alignment horizontal="left"/>
      <protection hidden="1"/>
    </xf>
    <xf numFmtId="164" fontId="8" fillId="4" borderId="0" xfId="0" applyNumberFormat="1" applyFont="1" applyFill="1" applyBorder="1" applyAlignment="1" applyProtection="1">
      <alignment horizontal="left" vertical="center" wrapText="1"/>
      <protection hidden="1"/>
    </xf>
    <xf numFmtId="165" fontId="8" fillId="4" borderId="0" xfId="0" applyNumberFormat="1" applyFont="1" applyFill="1" applyBorder="1" applyAlignment="1" applyProtection="1">
      <alignment horizontal="left" vertical="center" wrapText="1"/>
      <protection hidden="1"/>
    </xf>
    <xf numFmtId="0" fontId="8" fillId="3" borderId="1" xfId="0" applyFont="1" applyFill="1" applyBorder="1" applyAlignment="1" applyProtection="1">
      <alignment horizontal="center" vertical="center"/>
      <protection hidden="1"/>
    </xf>
    <xf numFmtId="165" fontId="8" fillId="4" borderId="0" xfId="0" applyNumberFormat="1" applyFont="1" applyFill="1" applyBorder="1" applyAlignment="1" applyProtection="1">
      <alignment horizontal="left"/>
      <protection hidden="1"/>
    </xf>
    <xf numFmtId="0" fontId="8" fillId="0" borderId="0" xfId="0" applyFont="1" applyFill="1" applyBorder="1" applyAlignment="1" applyProtection="1">
      <alignment horizontal="left" vertical="center" wrapText="1"/>
      <protection hidden="1"/>
    </xf>
    <xf numFmtId="0" fontId="8" fillId="3" borderId="1" xfId="0" applyFont="1" applyFill="1" applyBorder="1" applyAlignment="1" applyProtection="1">
      <alignment horizontal="center" vertical="center" wrapText="1"/>
      <protection hidden="1"/>
    </xf>
    <xf numFmtId="0" fontId="8" fillId="7" borderId="9" xfId="0" applyFont="1" applyFill="1" applyBorder="1" applyAlignment="1" applyProtection="1">
      <alignment horizontal="left" vertical="center" wrapText="1"/>
      <protection hidden="1"/>
    </xf>
    <xf numFmtId="165" fontId="8" fillId="7" borderId="9" xfId="0" applyNumberFormat="1" applyFont="1" applyFill="1" applyBorder="1" applyAlignment="1" applyProtection="1">
      <alignment horizontal="left" vertical="center" wrapText="1"/>
      <protection hidden="1"/>
    </xf>
    <xf numFmtId="0" fontId="8" fillId="4" borderId="9" xfId="0" applyFont="1" applyFill="1" applyBorder="1" applyAlignment="1" applyProtection="1">
      <alignment horizontal="left"/>
      <protection hidden="1"/>
    </xf>
    <xf numFmtId="165" fontId="8" fillId="4" borderId="9" xfId="0" applyNumberFormat="1" applyFont="1" applyFill="1" applyBorder="1" applyAlignment="1" applyProtection="1">
      <alignment horizontal="left" vertical="center" wrapText="1"/>
      <protection hidden="1"/>
    </xf>
    <xf numFmtId="165" fontId="0" fillId="4" borderId="0" xfId="0" applyNumberFormat="1" applyFont="1" applyFill="1" applyProtection="1">
      <protection hidden="1"/>
    </xf>
    <xf numFmtId="0" fontId="28" fillId="4" borderId="0" xfId="0" applyFont="1" applyFill="1" applyAlignment="1" applyProtection="1">
      <alignment horizontal="center"/>
      <protection hidden="1"/>
    </xf>
    <xf numFmtId="165" fontId="28" fillId="4" borderId="0" xfId="0" applyNumberFormat="1" applyFont="1" applyFill="1" applyProtection="1">
      <protection hidden="1"/>
    </xf>
    <xf numFmtId="0" fontId="28" fillId="4" borderId="0" xfId="0" applyFont="1" applyFill="1" applyAlignment="1" applyProtection="1">
      <alignment horizontal="right"/>
      <protection hidden="1"/>
    </xf>
    <xf numFmtId="164" fontId="28" fillId="4" borderId="0" xfId="0" applyNumberFormat="1" applyFont="1" applyFill="1" applyProtection="1">
      <protection hidden="1"/>
    </xf>
    <xf numFmtId="0" fontId="28" fillId="4" borderId="0" xfId="0" applyFont="1" applyFill="1" applyAlignment="1" applyProtection="1">
      <alignment horizontal="left"/>
      <protection hidden="1"/>
    </xf>
    <xf numFmtId="0" fontId="15" fillId="0" borderId="0" xfId="0" applyFont="1" applyFill="1" applyBorder="1" applyAlignment="1" applyProtection="1">
      <alignment wrapText="1"/>
      <protection hidden="1"/>
    </xf>
    <xf numFmtId="0" fontId="0" fillId="0" borderId="0" xfId="0" applyFont="1" applyProtection="1">
      <protection hidden="1"/>
    </xf>
    <xf numFmtId="0" fontId="9" fillId="0" borderId="0" xfId="2" applyFont="1" applyFill="1" applyBorder="1" applyProtection="1">
      <protection hidden="1"/>
    </xf>
    <xf numFmtId="0" fontId="9" fillId="0" borderId="0" xfId="0" applyFont="1" applyFill="1" applyBorder="1" applyAlignment="1" applyProtection="1">
      <alignment horizontal="right"/>
      <protection hidden="1"/>
    </xf>
    <xf numFmtId="0" fontId="4" fillId="0" borderId="0" xfId="2" applyFont="1" applyFill="1" applyBorder="1" applyProtection="1">
      <protection hidden="1"/>
    </xf>
    <xf numFmtId="0" fontId="13" fillId="0" borderId="0" xfId="0" applyFont="1" applyFill="1" applyBorder="1" applyAlignment="1" applyProtection="1">
      <alignment horizontal="left"/>
      <protection hidden="1"/>
    </xf>
    <xf numFmtId="0" fontId="13" fillId="0" borderId="0" xfId="0" applyFont="1" applyAlignment="1" applyProtection="1">
      <alignment horizontal="left"/>
      <protection hidden="1"/>
    </xf>
    <xf numFmtId="0" fontId="9" fillId="0" borderId="0" xfId="0" applyFont="1" applyBorder="1" applyAlignment="1" applyProtection="1">
      <alignment horizontal="right"/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9" fillId="0" borderId="0" xfId="0" applyFont="1" applyBorder="1" applyAlignment="1" applyProtection="1">
      <alignment horizontal="left"/>
      <protection hidden="1"/>
    </xf>
    <xf numFmtId="0" fontId="0" fillId="0" borderId="0" xfId="0" applyFont="1" applyAlignment="1" applyProtection="1">
      <alignment horizontal="center"/>
      <protection hidden="1"/>
    </xf>
    <xf numFmtId="0" fontId="0" fillId="4" borderId="0" xfId="0" applyFont="1" applyFill="1" applyAlignment="1" applyProtection="1">
      <alignment horizontal="left"/>
      <protection hidden="1"/>
    </xf>
    <xf numFmtId="3" fontId="0" fillId="4" borderId="0" xfId="0" applyNumberFormat="1" applyFont="1" applyFill="1" applyProtection="1">
      <protection hidden="1"/>
    </xf>
    <xf numFmtId="0" fontId="32" fillId="4" borderId="0" xfId="0" applyFont="1" applyFill="1" applyProtection="1">
      <protection hidden="1"/>
    </xf>
    <xf numFmtId="0" fontId="55" fillId="8" borderId="0" xfId="0" applyFont="1" applyFill="1" applyAlignment="1" applyProtection="1">
      <alignment horizontal="right" vertical="center"/>
      <protection hidden="1"/>
    </xf>
    <xf numFmtId="164" fontId="0" fillId="4" borderId="0" xfId="0" applyNumberFormat="1" applyFont="1" applyFill="1" applyAlignment="1" applyProtection="1">
      <alignment horizontal="right"/>
      <protection hidden="1"/>
    </xf>
    <xf numFmtId="2" fontId="0" fillId="4" borderId="0" xfId="0" applyNumberFormat="1" applyFont="1" applyFill="1" applyAlignment="1" applyProtection="1">
      <alignment horizontal="right"/>
      <protection hidden="1"/>
    </xf>
    <xf numFmtId="3" fontId="0" fillId="4" borderId="0" xfId="0" applyNumberFormat="1" applyFont="1" applyFill="1" applyBorder="1" applyAlignment="1" applyProtection="1">
      <alignment horizontal="right"/>
      <protection hidden="1"/>
    </xf>
    <xf numFmtId="9" fontId="1" fillId="4" borderId="0" xfId="1" applyFont="1" applyFill="1" applyAlignment="1" applyProtection="1">
      <alignment horizontal="left"/>
      <protection hidden="1"/>
    </xf>
    <xf numFmtId="2" fontId="0" fillId="4" borderId="0" xfId="0" applyNumberFormat="1" applyFont="1" applyFill="1" applyBorder="1" applyAlignment="1" applyProtection="1">
      <alignment horizontal="right"/>
      <protection hidden="1"/>
    </xf>
    <xf numFmtId="0" fontId="52" fillId="4" borderId="0" xfId="0" applyFont="1" applyFill="1" applyProtection="1">
      <protection hidden="1"/>
    </xf>
    <xf numFmtId="0" fontId="44" fillId="4" borderId="0" xfId="0" applyFont="1" applyFill="1" applyProtection="1">
      <protection hidden="1"/>
    </xf>
    <xf numFmtId="0" fontId="51" fillId="4" borderId="0" xfId="0" applyFont="1" applyFill="1" applyProtection="1">
      <protection hidden="1"/>
    </xf>
    <xf numFmtId="0" fontId="60" fillId="4" borderId="0" xfId="0" applyFont="1" applyFill="1" applyProtection="1">
      <protection hidden="1"/>
    </xf>
    <xf numFmtId="0" fontId="53" fillId="4" borderId="0" xfId="0" applyFont="1" applyFill="1" applyProtection="1">
      <protection hidden="1"/>
    </xf>
    <xf numFmtId="0" fontId="44" fillId="4" borderId="0" xfId="0" applyFont="1" applyFill="1" applyAlignment="1" applyProtection="1">
      <alignment horizontal="left"/>
      <protection hidden="1"/>
    </xf>
    <xf numFmtId="1" fontId="0" fillId="4" borderId="0" xfId="0" applyNumberFormat="1" applyFont="1" applyFill="1" applyAlignment="1" applyProtection="1">
      <alignment horizontal="right"/>
      <protection hidden="1"/>
    </xf>
    <xf numFmtId="0" fontId="35" fillId="4" borderId="0" xfId="0" applyFont="1" applyFill="1" applyProtection="1">
      <protection hidden="1"/>
    </xf>
    <xf numFmtId="0" fontId="7" fillId="4" borderId="0" xfId="0" applyFont="1" applyFill="1" applyProtection="1">
      <protection hidden="1"/>
    </xf>
    <xf numFmtId="0" fontId="20" fillId="4" borderId="4" xfId="0" applyFont="1" applyFill="1" applyBorder="1" applyProtection="1">
      <protection hidden="1"/>
    </xf>
    <xf numFmtId="0" fontId="0" fillId="4" borderId="11" xfId="0" applyFont="1" applyFill="1" applyBorder="1" applyProtection="1">
      <protection hidden="1"/>
    </xf>
    <xf numFmtId="0" fontId="0" fillId="4" borderId="12" xfId="0" applyFont="1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13" xfId="0" applyFont="1" applyFill="1" applyBorder="1" applyProtection="1">
      <protection hidden="1"/>
    </xf>
    <xf numFmtId="0" fontId="0" fillId="10" borderId="0" xfId="0" applyFont="1" applyFill="1" applyBorder="1" applyAlignment="1" applyProtection="1">
      <alignment horizontal="center"/>
      <protection hidden="1"/>
    </xf>
    <xf numFmtId="0" fontId="0" fillId="4" borderId="6" xfId="0" applyFont="1" applyFill="1" applyBorder="1" applyProtection="1">
      <protection hidden="1"/>
    </xf>
    <xf numFmtId="0" fontId="0" fillId="10" borderId="9" xfId="0" applyFont="1" applyFill="1" applyBorder="1" applyAlignment="1" applyProtection="1">
      <alignment horizontal="center"/>
      <protection hidden="1"/>
    </xf>
    <xf numFmtId="0" fontId="0" fillId="4" borderId="14" xfId="0" applyFont="1" applyFill="1" applyBorder="1" applyProtection="1">
      <protection hidden="1"/>
    </xf>
    <xf numFmtId="0" fontId="6" fillId="4" borderId="0" xfId="0" applyFont="1" applyFill="1" applyBorder="1" applyAlignment="1" applyProtection="1">
      <alignment horizontal="left" vertical="top"/>
      <protection hidden="1"/>
    </xf>
    <xf numFmtId="3" fontId="35" fillId="4" borderId="0" xfId="0" applyNumberFormat="1" applyFont="1" applyFill="1" applyBorder="1" applyAlignment="1" applyProtection="1">
      <alignment horizontal="left" vertical="top"/>
      <protection hidden="1"/>
    </xf>
    <xf numFmtId="1" fontId="35" fillId="4" borderId="0" xfId="0" applyNumberFormat="1" applyFont="1" applyFill="1" applyBorder="1" applyAlignment="1" applyProtection="1">
      <alignment horizontal="left" vertical="top"/>
      <protection hidden="1"/>
    </xf>
    <xf numFmtId="164" fontId="35" fillId="4" borderId="0" xfId="0" applyNumberFormat="1" applyFont="1" applyFill="1" applyBorder="1" applyAlignment="1" applyProtection="1">
      <alignment horizontal="left" vertical="top"/>
      <protection hidden="1"/>
    </xf>
    <xf numFmtId="0" fontId="77" fillId="4" borderId="0" xfId="0" applyFont="1" applyFill="1" applyBorder="1" applyProtection="1">
      <protection hidden="1"/>
    </xf>
    <xf numFmtId="164" fontId="77" fillId="4" borderId="0" xfId="0" applyNumberFormat="1" applyFont="1" applyFill="1" applyBorder="1" applyAlignment="1" applyProtection="1">
      <alignment horizontal="left"/>
      <protection hidden="1"/>
    </xf>
    <xf numFmtId="0" fontId="33" fillId="4" borderId="0" xfId="0" applyFont="1" applyFill="1" applyProtection="1">
      <protection hidden="1"/>
    </xf>
    <xf numFmtId="0" fontId="0" fillId="0" borderId="0" xfId="0" applyFont="1" applyAlignment="1" applyProtection="1">
      <alignment horizontal="left"/>
      <protection hidden="1"/>
    </xf>
    <xf numFmtId="3" fontId="35" fillId="4" borderId="0" xfId="0" applyNumberFormat="1" applyFont="1" applyFill="1" applyBorder="1" applyAlignment="1" applyProtection="1">
      <alignment horizontal="center" vertical="top"/>
      <protection hidden="1"/>
    </xf>
    <xf numFmtId="3" fontId="0" fillId="4" borderId="0" xfId="0" applyNumberFormat="1" applyFill="1" applyAlignment="1" applyProtection="1">
      <alignment horizontal="center" vertical="top"/>
      <protection hidden="1"/>
    </xf>
    <xf numFmtId="3" fontId="0" fillId="4" borderId="0" xfId="0" applyNumberFormat="1" applyFill="1" applyAlignment="1" applyProtection="1">
      <alignment horizontal="left" vertical="top"/>
      <protection hidden="1"/>
    </xf>
    <xf numFmtId="9" fontId="1" fillId="4" borderId="0" xfId="1" applyFont="1" applyFill="1" applyAlignment="1" applyProtection="1">
      <alignment horizontal="center" vertical="top"/>
      <protection hidden="1"/>
    </xf>
    <xf numFmtId="3" fontId="26" fillId="4" borderId="0" xfId="0" applyNumberFormat="1" applyFont="1" applyFill="1" applyAlignment="1" applyProtection="1">
      <alignment horizontal="left" vertical="top"/>
      <protection hidden="1"/>
    </xf>
    <xf numFmtId="0" fontId="70" fillId="4" borderId="0" xfId="0" applyFont="1" applyFill="1" applyBorder="1" applyAlignment="1" applyProtection="1">
      <alignment horizontal="center" vertical="center"/>
      <protection hidden="1"/>
    </xf>
    <xf numFmtId="0" fontId="70" fillId="4" borderId="0" xfId="0" applyFont="1" applyFill="1" applyBorder="1" applyAlignment="1" applyProtection="1">
      <alignment horizontal="left" vertical="center"/>
      <protection hidden="1"/>
    </xf>
    <xf numFmtId="0" fontId="0" fillId="4" borderId="0" xfId="0" applyFill="1" applyBorder="1" applyAlignment="1" applyProtection="1">
      <alignment horizontal="center" vertical="top"/>
      <protection hidden="1"/>
    </xf>
    <xf numFmtId="3" fontId="0" fillId="10" borderId="1" xfId="0" applyNumberFormat="1" applyFill="1" applyBorder="1" applyAlignment="1" applyProtection="1">
      <alignment horizontal="center" vertical="top"/>
      <protection hidden="1"/>
    </xf>
    <xf numFmtId="3" fontId="0" fillId="4" borderId="0" xfId="0" applyNumberFormat="1" applyFill="1" applyBorder="1" applyAlignment="1" applyProtection="1">
      <alignment horizontal="center" vertical="top"/>
      <protection hidden="1"/>
    </xf>
    <xf numFmtId="9" fontId="35" fillId="4" borderId="0" xfId="1" applyFont="1" applyFill="1" applyBorder="1" applyAlignment="1" applyProtection="1">
      <alignment horizontal="center" vertical="top"/>
      <protection hidden="1"/>
    </xf>
    <xf numFmtId="9" fontId="0" fillId="4" borderId="0" xfId="1" applyFont="1" applyFill="1" applyBorder="1" applyAlignment="1" applyProtection="1">
      <alignment horizontal="center" vertical="top"/>
      <protection hidden="1"/>
    </xf>
    <xf numFmtId="0" fontId="0" fillId="4" borderId="9" xfId="0" applyFill="1" applyBorder="1" applyAlignment="1" applyProtection="1">
      <alignment horizontal="left" vertical="top"/>
      <protection hidden="1"/>
    </xf>
    <xf numFmtId="0" fontId="0" fillId="4" borderId="6" xfId="0" applyFill="1" applyBorder="1" applyAlignment="1" applyProtection="1">
      <alignment horizontal="left" vertical="top"/>
      <protection hidden="1"/>
    </xf>
    <xf numFmtId="3" fontId="0" fillId="4" borderId="9" xfId="0" applyNumberFormat="1" applyFill="1" applyBorder="1" applyAlignment="1" applyProtection="1">
      <alignment horizontal="center" vertical="top"/>
      <protection hidden="1"/>
    </xf>
    <xf numFmtId="3" fontId="35" fillId="4" borderId="0" xfId="0" applyNumberFormat="1" applyFont="1" applyFill="1" applyBorder="1" applyAlignment="1" applyProtection="1">
      <alignment horizontal="right" vertical="top"/>
      <protection hidden="1"/>
    </xf>
    <xf numFmtId="3" fontId="0" fillId="4" borderId="0" xfId="0" applyNumberFormat="1" applyFill="1" applyBorder="1" applyAlignment="1" applyProtection="1">
      <alignment horizontal="left" vertical="top"/>
      <protection hidden="1"/>
    </xf>
    <xf numFmtId="0" fontId="0" fillId="4" borderId="0" xfId="0" applyFill="1" applyBorder="1" applyAlignment="1" applyProtection="1">
      <alignment horizontal="left" vertical="top" wrapText="1"/>
      <protection hidden="1"/>
    </xf>
    <xf numFmtId="0" fontId="28" fillId="4" borderId="0" xfId="0" applyFont="1" applyFill="1" applyBorder="1" applyAlignment="1" applyProtection="1">
      <alignment horizontal="left" vertical="top" wrapText="1"/>
      <protection hidden="1"/>
    </xf>
    <xf numFmtId="0" fontId="0" fillId="4" borderId="9" xfId="0" applyFill="1" applyBorder="1" applyAlignment="1" applyProtection="1">
      <alignment horizontal="center" vertical="top"/>
      <protection hidden="1"/>
    </xf>
    <xf numFmtId="0" fontId="21" fillId="4" borderId="0" xfId="0" applyFont="1" applyFill="1" applyBorder="1" applyAlignment="1" applyProtection="1">
      <alignment horizontal="left" vertical="top"/>
      <protection hidden="1"/>
    </xf>
    <xf numFmtId="0" fontId="21" fillId="4" borderId="0" xfId="0" applyFont="1" applyFill="1" applyBorder="1" applyAlignment="1" applyProtection="1">
      <alignment horizontal="center" vertical="top"/>
      <protection hidden="1"/>
    </xf>
    <xf numFmtId="3" fontId="21" fillId="4" borderId="0" xfId="0" applyNumberFormat="1" applyFont="1" applyFill="1" applyBorder="1" applyAlignment="1" applyProtection="1">
      <alignment horizontal="center" vertical="top"/>
      <protection hidden="1"/>
    </xf>
    <xf numFmtId="0" fontId="10" fillId="4" borderId="0" xfId="0" applyFont="1" applyFill="1" applyBorder="1" applyAlignment="1" applyProtection="1">
      <alignment horizontal="left" vertical="top"/>
      <protection hidden="1"/>
    </xf>
    <xf numFmtId="3" fontId="10" fillId="4" borderId="0" xfId="0" applyNumberFormat="1" applyFont="1" applyFill="1" applyBorder="1" applyAlignment="1" applyProtection="1">
      <alignment horizontal="center" vertical="top"/>
      <protection hidden="1"/>
    </xf>
    <xf numFmtId="3" fontId="78" fillId="4" borderId="0" xfId="0" applyNumberFormat="1" applyFont="1" applyFill="1" applyBorder="1" applyAlignment="1" applyProtection="1">
      <alignment horizontal="center" vertical="top"/>
      <protection hidden="1"/>
    </xf>
    <xf numFmtId="3" fontId="6" fillId="4" borderId="0" xfId="0" applyNumberFormat="1" applyFont="1" applyFill="1" applyBorder="1" applyAlignment="1" applyProtection="1">
      <alignment horizontal="center" vertical="top"/>
      <protection hidden="1"/>
    </xf>
    <xf numFmtId="3" fontId="1" fillId="4" borderId="0" xfId="0" applyNumberFormat="1" applyFont="1" applyFill="1" applyBorder="1" applyAlignment="1" applyProtection="1">
      <alignment horizontal="center" vertical="top"/>
      <protection hidden="1"/>
    </xf>
    <xf numFmtId="3" fontId="0" fillId="0" borderId="0" xfId="0" applyNumberFormat="1" applyAlignment="1" applyProtection="1">
      <alignment horizontal="left" vertical="top"/>
      <protection hidden="1"/>
    </xf>
    <xf numFmtId="3" fontId="0" fillId="0" borderId="0" xfId="0" applyNumberFormat="1" applyAlignment="1" applyProtection="1">
      <alignment horizontal="center" vertical="top"/>
      <protection hidden="1"/>
    </xf>
    <xf numFmtId="0" fontId="0" fillId="4" borderId="18" xfId="0" applyFont="1" applyFill="1" applyBorder="1" applyAlignment="1" applyProtection="1">
      <protection hidden="1"/>
    </xf>
    <xf numFmtId="0" fontId="0" fillId="4" borderId="0" xfId="0" applyFont="1" applyFill="1" applyAlignment="1" applyProtection="1">
      <protection hidden="1"/>
    </xf>
    <xf numFmtId="0" fontId="54" fillId="4" borderId="0" xfId="0" applyFont="1" applyFill="1" applyAlignment="1" applyProtection="1">
      <alignment horizontal="left" vertical="center" wrapText="1"/>
      <protection hidden="1"/>
    </xf>
    <xf numFmtId="0" fontId="39" fillId="4" borderId="0" xfId="0" applyFont="1" applyFill="1" applyAlignment="1" applyProtection="1">
      <protection hidden="1"/>
    </xf>
    <xf numFmtId="0" fontId="39" fillId="0" borderId="0" xfId="0" applyFont="1" applyAlignment="1" applyProtection="1">
      <protection hidden="1"/>
    </xf>
    <xf numFmtId="0" fontId="39" fillId="2" borderId="0" xfId="0" applyFont="1" applyFill="1" applyProtection="1">
      <protection hidden="1"/>
    </xf>
    <xf numFmtId="0" fontId="8" fillId="2" borderId="0" xfId="0" applyFont="1" applyFill="1" applyProtection="1">
      <protection hidden="1"/>
    </xf>
    <xf numFmtId="3" fontId="8" fillId="2" borderId="0" xfId="0" applyNumberFormat="1" applyFont="1" applyFill="1" applyProtection="1">
      <protection hidden="1"/>
    </xf>
    <xf numFmtId="0" fontId="49" fillId="2" borderId="0" xfId="0" applyFont="1" applyFill="1" applyProtection="1">
      <protection hidden="1"/>
    </xf>
    <xf numFmtId="0" fontId="61" fillId="4" borderId="0" xfId="0" applyFont="1" applyFill="1" applyProtection="1">
      <protection hidden="1"/>
    </xf>
    <xf numFmtId="165" fontId="61" fillId="4" borderId="0" xfId="0" applyNumberFormat="1" applyFont="1" applyFill="1" applyProtection="1">
      <protection hidden="1"/>
    </xf>
    <xf numFmtId="0" fontId="8" fillId="3" borderId="1" xfId="0" applyFont="1" applyFill="1" applyBorder="1" applyProtection="1">
      <protection hidden="1"/>
    </xf>
    <xf numFmtId="3" fontId="8" fillId="4" borderId="0" xfId="0" applyNumberFormat="1" applyFont="1" applyFill="1" applyProtection="1">
      <protection hidden="1"/>
    </xf>
    <xf numFmtId="0" fontId="49" fillId="4" borderId="0" xfId="0" applyFont="1" applyFill="1" applyProtection="1">
      <protection hidden="1"/>
    </xf>
    <xf numFmtId="165" fontId="8" fillId="4" borderId="0" xfId="0" applyNumberFormat="1" applyFont="1" applyFill="1" applyProtection="1">
      <protection hidden="1"/>
    </xf>
    <xf numFmtId="0" fontId="8" fillId="10" borderId="1" xfId="0" applyFont="1" applyFill="1" applyBorder="1" applyProtection="1">
      <protection hidden="1"/>
    </xf>
    <xf numFmtId="2" fontId="8" fillId="3" borderId="1" xfId="0" applyNumberFormat="1" applyFont="1" applyFill="1" applyBorder="1" applyProtection="1">
      <protection hidden="1"/>
    </xf>
    <xf numFmtId="0" fontId="8" fillId="4" borderId="2" xfId="0" applyFont="1" applyFill="1" applyBorder="1" applyProtection="1">
      <protection hidden="1"/>
    </xf>
    <xf numFmtId="3" fontId="8" fillId="3" borderId="16" xfId="0" applyNumberFormat="1" applyFont="1" applyFill="1" applyBorder="1" applyProtection="1">
      <protection hidden="1"/>
    </xf>
    <xf numFmtId="0" fontId="49" fillId="4" borderId="2" xfId="0" applyFont="1" applyFill="1" applyBorder="1" applyProtection="1">
      <protection hidden="1"/>
    </xf>
    <xf numFmtId="3" fontId="3" fillId="4" borderId="0" xfId="0" applyNumberFormat="1" applyFont="1" applyFill="1" applyProtection="1">
      <protection hidden="1"/>
    </xf>
    <xf numFmtId="0" fontId="56" fillId="4" borderId="0" xfId="0" applyFont="1" applyFill="1" applyAlignment="1" applyProtection="1">
      <alignment horizontal="left" vertical="center"/>
      <protection hidden="1"/>
    </xf>
    <xf numFmtId="0" fontId="55" fillId="8" borderId="0" xfId="0" applyFont="1" applyFill="1" applyAlignment="1" applyProtection="1">
      <alignment horizontal="left" vertical="center" wrapText="1" indent="2"/>
      <protection hidden="1"/>
    </xf>
    <xf numFmtId="0" fontId="55" fillId="8" borderId="0" xfId="0" applyFont="1" applyFill="1" applyAlignment="1" applyProtection="1">
      <alignment horizontal="left" vertical="center" wrapText="1"/>
      <protection hidden="1"/>
    </xf>
    <xf numFmtId="0" fontId="8" fillId="0" borderId="0" xfId="0" applyFont="1" applyProtection="1">
      <protection hidden="1"/>
    </xf>
    <xf numFmtId="0" fontId="57" fillId="9" borderId="0" xfId="0" applyFont="1" applyFill="1" applyAlignment="1" applyProtection="1">
      <alignment horizontal="left" vertical="center"/>
      <protection hidden="1"/>
    </xf>
    <xf numFmtId="0" fontId="58" fillId="9" borderId="0" xfId="0" applyFont="1" applyFill="1" applyAlignment="1" applyProtection="1">
      <alignment horizontal="center" vertical="center"/>
      <protection hidden="1"/>
    </xf>
    <xf numFmtId="0" fontId="8" fillId="0" borderId="0" xfId="0" applyFont="1" applyAlignment="1" applyProtection="1">
      <protection hidden="1"/>
    </xf>
    <xf numFmtId="1" fontId="8" fillId="4" borderId="0" xfId="0" applyNumberFormat="1" applyFont="1" applyFill="1" applyProtection="1">
      <protection hidden="1"/>
    </xf>
    <xf numFmtId="1" fontId="8" fillId="4" borderId="0" xfId="0" applyNumberFormat="1" applyFont="1" applyFill="1" applyAlignment="1" applyProtection="1">
      <alignment horizontal="right"/>
      <protection hidden="1"/>
    </xf>
    <xf numFmtId="3" fontId="8" fillId="10" borderId="1" xfId="0" applyNumberFormat="1" applyFont="1" applyFill="1" applyBorder="1" applyProtection="1">
      <protection hidden="1"/>
    </xf>
    <xf numFmtId="164" fontId="8" fillId="3" borderId="1" xfId="0" applyNumberFormat="1" applyFont="1" applyFill="1" applyBorder="1" applyProtection="1">
      <protection hidden="1"/>
    </xf>
    <xf numFmtId="0" fontId="50" fillId="4" borderId="0" xfId="0" applyFont="1" applyFill="1" applyProtection="1">
      <protection hidden="1"/>
    </xf>
    <xf numFmtId="0" fontId="8" fillId="4" borderId="0" xfId="0" applyFont="1" applyFill="1" applyBorder="1" applyProtection="1">
      <protection hidden="1"/>
    </xf>
    <xf numFmtId="0" fontId="58" fillId="4" borderId="0" xfId="0" applyFont="1" applyFill="1" applyAlignment="1" applyProtection="1">
      <alignment horizontal="left" vertical="center"/>
      <protection hidden="1"/>
    </xf>
    <xf numFmtId="0" fontId="58" fillId="4" borderId="0" xfId="0" applyFont="1" applyFill="1" applyBorder="1" applyAlignment="1" applyProtection="1">
      <alignment horizontal="left" vertical="center"/>
      <protection hidden="1"/>
    </xf>
    <xf numFmtId="3" fontId="8" fillId="3" borderId="1" xfId="0" applyNumberFormat="1" applyFont="1" applyFill="1" applyBorder="1" applyProtection="1">
      <protection hidden="1"/>
    </xf>
    <xf numFmtId="1" fontId="8" fillId="10" borderId="1" xfId="0" applyNumberFormat="1" applyFont="1" applyFill="1" applyBorder="1" applyProtection="1">
      <protection hidden="1"/>
    </xf>
    <xf numFmtId="0" fontId="8" fillId="10" borderId="16" xfId="0" applyFont="1" applyFill="1" applyBorder="1" applyProtection="1">
      <protection hidden="1"/>
    </xf>
    <xf numFmtId="0" fontId="21" fillId="4" borderId="0" xfId="0" applyFont="1" applyFill="1" applyProtection="1">
      <protection hidden="1"/>
    </xf>
    <xf numFmtId="3" fontId="21" fillId="4" borderId="0" xfId="0" applyNumberFormat="1" applyFont="1" applyFill="1" applyProtection="1">
      <protection hidden="1"/>
    </xf>
    <xf numFmtId="0" fontId="10" fillId="4" borderId="0" xfId="0" applyFont="1" applyFill="1" applyProtection="1">
      <protection hidden="1"/>
    </xf>
    <xf numFmtId="0" fontId="57" fillId="7" borderId="0" xfId="0" applyFont="1" applyFill="1" applyBorder="1" applyAlignment="1" applyProtection="1">
      <alignment horizontal="left" vertical="center" wrapText="1" indent="2"/>
      <protection hidden="1"/>
    </xf>
    <xf numFmtId="3" fontId="42" fillId="4" borderId="0" xfId="0" applyNumberFormat="1" applyFont="1" applyFill="1" applyProtection="1">
      <protection hidden="1"/>
    </xf>
    <xf numFmtId="0" fontId="42" fillId="4" borderId="0" xfId="0" applyFont="1" applyFill="1" applyProtection="1">
      <protection hidden="1"/>
    </xf>
    <xf numFmtId="0" fontId="8" fillId="7" borderId="0" xfId="0" applyFont="1" applyFill="1" applyProtection="1">
      <protection hidden="1"/>
    </xf>
    <xf numFmtId="0" fontId="56" fillId="7" borderId="0" xfId="0" applyFont="1" applyFill="1" applyBorder="1" applyAlignment="1" applyProtection="1">
      <alignment horizontal="left" vertical="center" wrapText="1"/>
      <protection hidden="1"/>
    </xf>
    <xf numFmtId="0" fontId="57" fillId="7" borderId="0" xfId="0" applyFont="1" applyFill="1" applyBorder="1" applyAlignment="1" applyProtection="1">
      <alignment horizontal="left" vertical="center" indent="2"/>
      <protection hidden="1"/>
    </xf>
    <xf numFmtId="3" fontId="48" fillId="4" borderId="0" xfId="0" applyNumberFormat="1" applyFont="1" applyFill="1" applyProtection="1">
      <protection hidden="1"/>
    </xf>
    <xf numFmtId="0" fontId="48" fillId="4" borderId="0" xfId="0" applyFont="1" applyFill="1" applyProtection="1">
      <protection hidden="1"/>
    </xf>
    <xf numFmtId="0" fontId="28" fillId="4" borderId="0" xfId="0" applyFont="1" applyFill="1" applyBorder="1" applyAlignment="1" applyProtection="1">
      <protection hidden="1"/>
    </xf>
    <xf numFmtId="0" fontId="28" fillId="4" borderId="0" xfId="0" applyFont="1" applyFill="1" applyAlignment="1" applyProtection="1">
      <protection hidden="1"/>
    </xf>
    <xf numFmtId="0" fontId="72" fillId="4" borderId="0" xfId="0" applyFont="1" applyFill="1" applyAlignment="1" applyProtection="1">
      <alignment horizontal="left" vertical="center"/>
      <protection hidden="1"/>
    </xf>
    <xf numFmtId="0" fontId="61" fillId="4" borderId="0" xfId="0" applyFont="1" applyFill="1" applyAlignment="1" applyProtection="1">
      <protection hidden="1"/>
    </xf>
    <xf numFmtId="0" fontId="61" fillId="4" borderId="0" xfId="0" applyFont="1" applyFill="1" applyAlignment="1" applyProtection="1">
      <alignment horizontal="left" vertical="center"/>
      <protection hidden="1"/>
    </xf>
    <xf numFmtId="3" fontId="8" fillId="4" borderId="0" xfId="0" applyNumberFormat="1" applyFont="1" applyFill="1" applyAlignment="1" applyProtection="1">
      <alignment horizontal="right" vertical="center"/>
      <protection hidden="1"/>
    </xf>
    <xf numFmtId="0" fontId="8" fillId="4" borderId="0" xfId="0" applyFont="1" applyFill="1" applyAlignment="1" applyProtection="1">
      <alignment horizontal="left" vertical="center"/>
      <protection hidden="1"/>
    </xf>
    <xf numFmtId="9" fontId="8" fillId="3" borderId="1" xfId="1" applyNumberFormat="1" applyFont="1" applyFill="1" applyBorder="1" applyAlignment="1" applyProtection="1">
      <alignment horizontal="right" vertical="center"/>
      <protection hidden="1"/>
    </xf>
    <xf numFmtId="0" fontId="71" fillId="4" borderId="0" xfId="0" applyFont="1" applyFill="1" applyAlignment="1" applyProtection="1">
      <alignment horizontal="left" vertical="center"/>
      <protection hidden="1"/>
    </xf>
    <xf numFmtId="0" fontId="71" fillId="4" borderId="0" xfId="0" applyFont="1" applyFill="1" applyAlignment="1" applyProtection="1">
      <alignment vertical="center"/>
      <protection hidden="1"/>
    </xf>
    <xf numFmtId="9" fontId="8" fillId="4" borderId="0" xfId="0" applyNumberFormat="1" applyFont="1" applyFill="1" applyAlignment="1" applyProtection="1">
      <alignment vertical="center"/>
      <protection hidden="1"/>
    </xf>
    <xf numFmtId="0" fontId="48" fillId="2" borderId="0" xfId="0" applyFont="1" applyFill="1" applyAlignment="1" applyProtection="1">
      <alignment horizontal="left" vertical="center"/>
      <protection hidden="1"/>
    </xf>
    <xf numFmtId="0" fontId="8" fillId="2" borderId="0" xfId="0" applyFont="1" applyFill="1" applyAlignment="1" applyProtection="1">
      <alignment horizontal="left" vertical="center"/>
      <protection hidden="1"/>
    </xf>
    <xf numFmtId="164" fontId="8" fillId="4" borderId="0" xfId="0" applyNumberFormat="1" applyFont="1" applyFill="1" applyAlignment="1" applyProtection="1">
      <alignment horizontal="right" vertical="center"/>
      <protection hidden="1"/>
    </xf>
    <xf numFmtId="0" fontId="71" fillId="4" borderId="0" xfId="0" applyFont="1" applyFill="1" applyAlignment="1" applyProtection="1">
      <protection hidden="1"/>
    </xf>
    <xf numFmtId="0" fontId="0" fillId="4" borderId="0" xfId="0" applyFont="1" applyFill="1" applyBorder="1" applyAlignment="1" applyProtection="1">
      <protection hidden="1"/>
    </xf>
    <xf numFmtId="0" fontId="0" fillId="0" borderId="0" xfId="0" applyFont="1" applyAlignment="1" applyProtection="1">
      <protection hidden="1"/>
    </xf>
    <xf numFmtId="0" fontId="28" fillId="0" borderId="0" xfId="0" applyFont="1" applyAlignment="1" applyProtection="1">
      <protection hidden="1"/>
    </xf>
    <xf numFmtId="0" fontId="0" fillId="2" borderId="0" xfId="0" applyFill="1" applyProtection="1">
      <protection hidden="1"/>
    </xf>
    <xf numFmtId="1" fontId="0" fillId="4" borderId="0" xfId="0" applyNumberFormat="1" applyFill="1" applyProtection="1">
      <protection hidden="1"/>
    </xf>
    <xf numFmtId="164" fontId="0" fillId="4" borderId="0" xfId="0" applyNumberFormat="1" applyFill="1" applyProtection="1">
      <protection hidden="1"/>
    </xf>
    <xf numFmtId="3" fontId="28" fillId="4" borderId="0" xfId="0" applyNumberFormat="1" applyFont="1" applyFill="1" applyAlignment="1" applyProtection="1">
      <alignment horizontal="right"/>
      <protection hidden="1"/>
    </xf>
    <xf numFmtId="1" fontId="28" fillId="4" borderId="0" xfId="0" applyNumberFormat="1" applyFont="1" applyFill="1" applyProtection="1">
      <protection hidden="1"/>
    </xf>
    <xf numFmtId="3" fontId="1" fillId="2" borderId="0" xfId="0" applyNumberFormat="1" applyFont="1" applyFill="1" applyProtection="1">
      <protection hidden="1"/>
    </xf>
    <xf numFmtId="3" fontId="1" fillId="4" borderId="0" xfId="0" applyNumberFormat="1" applyFont="1" applyFill="1" applyProtection="1">
      <protection hidden="1"/>
    </xf>
    <xf numFmtId="3" fontId="1" fillId="2" borderId="0" xfId="0" applyNumberFormat="1" applyFont="1" applyFill="1" applyAlignment="1" applyProtection="1">
      <alignment horizontal="right"/>
      <protection hidden="1"/>
    </xf>
    <xf numFmtId="164" fontId="0" fillId="4" borderId="0" xfId="0" applyNumberFormat="1" applyFill="1" applyAlignment="1" applyProtection="1">
      <alignment horizontal="right"/>
      <protection hidden="1"/>
    </xf>
    <xf numFmtId="2" fontId="0" fillId="4" borderId="0" xfId="0" applyNumberFormat="1" applyFill="1" applyAlignment="1" applyProtection="1">
      <alignment horizontal="right"/>
      <protection hidden="1"/>
    </xf>
    <xf numFmtId="164" fontId="1" fillId="4" borderId="0" xfId="0" applyNumberFormat="1" applyFont="1" applyFill="1" applyProtection="1">
      <protection hidden="1"/>
    </xf>
    <xf numFmtId="0" fontId="21" fillId="6" borderId="3" xfId="0" applyFont="1" applyFill="1" applyBorder="1" applyAlignment="1" applyProtection="1">
      <alignment horizontal="left" vertical="top"/>
      <protection hidden="1"/>
    </xf>
    <xf numFmtId="0" fontId="0" fillId="0" borderId="8" xfId="0" applyBorder="1" applyAlignment="1" applyProtection="1">
      <alignment horizontal="left" vertical="top"/>
      <protection hidden="1"/>
    </xf>
    <xf numFmtId="0" fontId="0" fillId="0" borderId="15" xfId="0" applyBorder="1" applyAlignment="1" applyProtection="1">
      <alignment horizontal="left" vertical="top"/>
      <protection hidden="1"/>
    </xf>
    <xf numFmtId="0" fontId="55" fillId="8" borderId="0" xfId="0" applyFont="1" applyFill="1" applyAlignment="1" applyProtection="1">
      <alignment horizontal="left" vertical="center" wrapText="1"/>
      <protection hidden="1"/>
    </xf>
    <xf numFmtId="0" fontId="55" fillId="8" borderId="0" xfId="0" applyFont="1" applyFill="1" applyAlignment="1" applyProtection="1">
      <alignment horizontal="left" vertical="center"/>
      <protection hidden="1"/>
    </xf>
    <xf numFmtId="0" fontId="81" fillId="4" borderId="0" xfId="0" applyFont="1" applyFill="1" applyBorder="1" applyAlignment="1" applyProtection="1">
      <alignment horizontal="left"/>
      <protection hidden="1"/>
    </xf>
    <xf numFmtId="3" fontId="82" fillId="4" borderId="0" xfId="0" applyNumberFormat="1" applyFont="1" applyFill="1" applyBorder="1" applyAlignment="1" applyProtection="1">
      <alignment horizontal="left"/>
      <protection hidden="1"/>
    </xf>
    <xf numFmtId="0" fontId="82" fillId="4" borderId="0" xfId="0" applyFont="1" applyFill="1" applyBorder="1" applyAlignment="1" applyProtection="1">
      <alignment horizontal="right"/>
      <protection hidden="1"/>
    </xf>
    <xf numFmtId="1" fontId="82" fillId="4" borderId="0" xfId="0" applyNumberFormat="1" applyFont="1" applyFill="1" applyBorder="1" applyAlignment="1" applyProtection="1">
      <alignment horizontal="left"/>
      <protection hidden="1"/>
    </xf>
    <xf numFmtId="0" fontId="82" fillId="4" borderId="0" xfId="0" applyFont="1" applyFill="1" applyBorder="1" applyAlignment="1" applyProtection="1">
      <alignment horizontal="left"/>
      <protection hidden="1"/>
    </xf>
    <xf numFmtId="0" fontId="77" fillId="4" borderId="0" xfId="0" applyFont="1" applyFill="1" applyBorder="1" applyAlignment="1" applyProtection="1">
      <alignment horizontal="left"/>
      <protection hidden="1"/>
    </xf>
    <xf numFmtId="164" fontId="82" fillId="4" borderId="0" xfId="0" applyNumberFormat="1" applyFont="1" applyFill="1" applyBorder="1" applyAlignment="1" applyProtection="1">
      <alignment horizontal="right"/>
      <protection hidden="1"/>
    </xf>
    <xf numFmtId="0" fontId="83" fillId="4" borderId="0" xfId="0" applyFont="1" applyFill="1" applyBorder="1" applyAlignment="1" applyProtection="1">
      <alignment horizontal="left"/>
      <protection hidden="1"/>
    </xf>
    <xf numFmtId="3" fontId="84" fillId="4" borderId="0" xfId="0" applyNumberFormat="1" applyFont="1" applyFill="1" applyBorder="1" applyAlignment="1" applyProtection="1">
      <alignment horizontal="left"/>
      <protection hidden="1"/>
    </xf>
    <xf numFmtId="0" fontId="78" fillId="4" borderId="0" xfId="0" applyFont="1" applyFill="1" applyBorder="1" applyAlignment="1" applyProtection="1">
      <alignment horizontal="left"/>
      <protection hidden="1"/>
    </xf>
    <xf numFmtId="3" fontId="78" fillId="4" borderId="0" xfId="0" applyNumberFormat="1" applyFont="1" applyFill="1" applyBorder="1" applyAlignment="1" applyProtection="1">
      <alignment horizontal="left"/>
      <protection hidden="1"/>
    </xf>
    <xf numFmtId="9" fontId="84" fillId="4" borderId="0" xfId="1" applyFont="1" applyFill="1" applyBorder="1" applyAlignment="1" applyProtection="1">
      <alignment horizontal="left"/>
      <protection hidden="1"/>
    </xf>
    <xf numFmtId="0" fontId="35" fillId="4" borderId="0" xfId="0" applyFont="1" applyFill="1" applyBorder="1" applyAlignment="1" applyProtection="1">
      <alignment horizontal="center"/>
      <protection hidden="1"/>
    </xf>
    <xf numFmtId="0" fontId="6" fillId="4" borderId="0" xfId="0" quotePrefix="1" applyFont="1" applyFill="1" applyBorder="1" applyProtection="1">
      <protection hidden="1"/>
    </xf>
    <xf numFmtId="1" fontId="35" fillId="4" borderId="0" xfId="0" applyNumberFormat="1" applyFont="1" applyFill="1" applyBorder="1" applyProtection="1">
      <protection hidden="1"/>
    </xf>
    <xf numFmtId="164" fontId="35" fillId="4" borderId="0" xfId="0" applyNumberFormat="1" applyFont="1" applyFill="1" applyBorder="1" applyProtection="1">
      <protection hidden="1"/>
    </xf>
    <xf numFmtId="3" fontId="35" fillId="4" borderId="0" xfId="0" applyNumberFormat="1" applyFont="1" applyFill="1" applyBorder="1" applyProtection="1">
      <protection hidden="1"/>
    </xf>
    <xf numFmtId="0" fontId="79" fillId="4" borderId="0" xfId="0" applyFont="1" applyFill="1" applyBorder="1" applyProtection="1">
      <protection hidden="1"/>
    </xf>
    <xf numFmtId="0" fontId="35" fillId="4" borderId="0" xfId="0" quotePrefix="1" applyFont="1" applyFill="1" applyBorder="1" applyProtection="1">
      <protection hidden="1"/>
    </xf>
    <xf numFmtId="2" fontId="35" fillId="4" borderId="0" xfId="0" applyNumberFormat="1" applyFont="1" applyFill="1" applyBorder="1" applyProtection="1">
      <protection hidden="1"/>
    </xf>
    <xf numFmtId="0" fontId="85" fillId="4" borderId="0" xfId="0" applyFont="1" applyFill="1" applyBorder="1" applyProtection="1">
      <protection hidden="1"/>
    </xf>
    <xf numFmtId="166" fontId="35" fillId="4" borderId="0" xfId="0" applyNumberFormat="1" applyFont="1" applyFill="1" applyBorder="1" applyProtection="1">
      <protection hidden="1"/>
    </xf>
    <xf numFmtId="3" fontId="6" fillId="4" borderId="0" xfId="0" applyNumberFormat="1" applyFont="1" applyFill="1" applyBorder="1" applyProtection="1">
      <protection hidden="1"/>
    </xf>
    <xf numFmtId="1" fontId="6" fillId="4" borderId="0" xfId="0" applyNumberFormat="1" applyFont="1" applyFill="1" applyBorder="1" applyProtection="1">
      <protection hidden="1"/>
    </xf>
    <xf numFmtId="2" fontId="0" fillId="4" borderId="0" xfId="0" applyNumberFormat="1" applyFont="1" applyFill="1" applyAlignment="1" applyProtection="1">
      <alignment horizontal="center"/>
      <protection hidden="1"/>
    </xf>
    <xf numFmtId="2" fontId="0" fillId="4" borderId="0" xfId="0" applyNumberFormat="1" applyFont="1" applyFill="1" applyBorder="1" applyAlignment="1" applyProtection="1">
      <alignment horizontal="center"/>
      <protection hidden="1"/>
    </xf>
    <xf numFmtId="2" fontId="0" fillId="3" borderId="1" xfId="0" applyNumberFormat="1" applyFont="1" applyFill="1" applyBorder="1" applyAlignment="1" applyProtection="1">
      <alignment horizontal="center"/>
    </xf>
    <xf numFmtId="2" fontId="3" fillId="4" borderId="0" xfId="0" applyNumberFormat="1" applyFont="1" applyFill="1" applyAlignment="1" applyProtection="1">
      <alignment horizontal="center"/>
    </xf>
  </cellXfs>
  <cellStyles count="4">
    <cellStyle name="Huomautus" xfId="2" builtinId="10"/>
    <cellStyle name="Hyperlinkki" xfId="3" builtinId="8"/>
    <cellStyle name="Normaali" xfId="0" builtinId="0"/>
    <cellStyle name="Prosenttia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23/09/relationships/Python" Target="pyth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54681</xdr:rowOff>
    </xdr:from>
    <xdr:to>
      <xdr:col>11</xdr:col>
      <xdr:colOff>495300</xdr:colOff>
      <xdr:row>24</xdr:row>
      <xdr:rowOff>87893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66FB637A-1389-6091-E301-0D524C8707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4237"/>
        <a:stretch>
          <a:fillRect/>
        </a:stretch>
      </xdr:blipFill>
      <xdr:spPr>
        <a:xfrm>
          <a:off x="0" y="3163641"/>
          <a:ext cx="7406640" cy="131337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103974</xdr:rowOff>
    </xdr:from>
    <xdr:to>
      <xdr:col>11</xdr:col>
      <xdr:colOff>434340</xdr:colOff>
      <xdr:row>16</xdr:row>
      <xdr:rowOff>55649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D2D81939-67F8-193A-C7C5-9304149E4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3974"/>
          <a:ext cx="7345680" cy="2877755"/>
        </a:xfrm>
        <a:prstGeom prst="rect">
          <a:avLst/>
        </a:prstGeom>
      </xdr:spPr>
    </xdr:pic>
    <xdr:clientData/>
  </xdr:twoCellAnchor>
  <xdr:twoCellAnchor editAs="oneCell">
    <xdr:from>
      <xdr:col>17</xdr:col>
      <xdr:colOff>15240</xdr:colOff>
      <xdr:row>33</xdr:row>
      <xdr:rowOff>228601</xdr:rowOff>
    </xdr:from>
    <xdr:to>
      <xdr:col>19</xdr:col>
      <xdr:colOff>398412</xdr:colOff>
      <xdr:row>37</xdr:row>
      <xdr:rowOff>306373</xdr:rowOff>
    </xdr:to>
    <xdr:pic>
      <xdr:nvPicPr>
        <xdr:cNvPr id="4" name="Kuva 3">
          <a:extLst>
            <a:ext uri="{FF2B5EF4-FFF2-40B4-BE49-F238E27FC236}">
              <a16:creationId xmlns:a16="http://schemas.microsoft.com/office/drawing/2014/main" id="{8AB3DD09-F418-6E4B-C027-B5552E26C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399520" y="6294121"/>
          <a:ext cx="1602372" cy="1243632"/>
        </a:xfrm>
        <a:prstGeom prst="rect">
          <a:avLst/>
        </a:prstGeom>
      </xdr:spPr>
    </xdr:pic>
    <xdr:clientData/>
  </xdr:twoCellAnchor>
  <xdr:twoCellAnchor editAs="oneCell">
    <xdr:from>
      <xdr:col>11</xdr:col>
      <xdr:colOff>586740</xdr:colOff>
      <xdr:row>37</xdr:row>
      <xdr:rowOff>105793</xdr:rowOff>
    </xdr:from>
    <xdr:to>
      <xdr:col>14</xdr:col>
      <xdr:colOff>124236</xdr:colOff>
      <xdr:row>39</xdr:row>
      <xdr:rowOff>38101</xdr:rowOff>
    </xdr:to>
    <xdr:pic>
      <xdr:nvPicPr>
        <xdr:cNvPr id="5" name="Kuva 4">
          <a:extLst>
            <a:ext uri="{FF2B5EF4-FFF2-40B4-BE49-F238E27FC236}">
              <a16:creationId xmlns:a16="http://schemas.microsoft.com/office/drawing/2014/main" id="{D7BC55A4-39AB-D854-A778-DF8A44677C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33419" b="6080"/>
        <a:stretch>
          <a:fillRect/>
        </a:stretch>
      </xdr:blipFill>
      <xdr:spPr>
        <a:xfrm>
          <a:off x="7498080" y="8022973"/>
          <a:ext cx="1366296" cy="4428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220980</xdr:colOff>
      <xdr:row>40</xdr:row>
      <xdr:rowOff>76200</xdr:rowOff>
    </xdr:from>
    <xdr:to>
      <xdr:col>8</xdr:col>
      <xdr:colOff>487680</xdr:colOff>
      <xdr:row>46</xdr:row>
      <xdr:rowOff>152400</xdr:rowOff>
    </xdr:to>
    <xdr:sp macro="" textlink="">
      <xdr:nvSpPr>
        <xdr:cNvPr id="9" name="Tekstiruutu 8">
          <a:extLst>
            <a:ext uri="{FF2B5EF4-FFF2-40B4-BE49-F238E27FC236}">
              <a16:creationId xmlns:a16="http://schemas.microsoft.com/office/drawing/2014/main" id="{75CCD66C-2F2F-A832-A1DC-2C72B77A6B8D}"/>
            </a:ext>
          </a:extLst>
        </xdr:cNvPr>
        <xdr:cNvSpPr txBox="1"/>
      </xdr:nvSpPr>
      <xdr:spPr>
        <a:xfrm>
          <a:off x="5486400" y="7680960"/>
          <a:ext cx="2842260" cy="1173480"/>
        </a:xfrm>
        <a:prstGeom prst="rect">
          <a:avLst/>
        </a:prstGeom>
        <a:solidFill>
          <a:schemeClr val="lt1"/>
        </a:solidFill>
        <a:ln w="28575" cmpd="sng">
          <a:solidFill>
            <a:srgbClr val="00B0F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 kern="1200">
              <a:solidFill>
                <a:sysClr val="windowText" lastClr="000000"/>
              </a:solidFill>
            </a:rPr>
            <a:t>Jos luku on negatiivinen, eli</a:t>
          </a:r>
          <a:r>
            <a:rPr lang="fi-FI" sz="1100" kern="1200" baseline="0">
              <a:solidFill>
                <a:sysClr val="windowText" lastClr="000000"/>
              </a:solidFill>
            </a:rPr>
            <a:t> </a:t>
          </a:r>
          <a:r>
            <a:rPr lang="fi-FI" sz="1100" kern="1200">
              <a:solidFill>
                <a:sysClr val="windowText" lastClr="000000"/>
              </a:solidFill>
            </a:rPr>
            <a:t>biokaasulaitoksen</a:t>
          </a:r>
          <a:r>
            <a:rPr lang="fi-FI" sz="1100" kern="1200" baseline="0">
              <a:solidFill>
                <a:sysClr val="windowText" lastClr="000000"/>
              </a:solidFill>
            </a:rPr>
            <a:t> sähkön- ja/tai lämmönkulutus ylittää tuotannon</a:t>
          </a:r>
          <a:r>
            <a:rPr lang="fi-FI" sz="1100" kern="1200">
              <a:solidFill>
                <a:sysClr val="windowText" lastClr="000000"/>
              </a:solidFill>
            </a:rPr>
            <a:t>,</a:t>
          </a:r>
          <a:r>
            <a:rPr lang="fi-FI" sz="1100" kern="1200" baseline="0">
              <a:solidFill>
                <a:sysClr val="windowText" lastClr="000000"/>
              </a:solidFill>
            </a:rPr>
            <a:t> tulee biokaasulaitokselle hankkia ko. energiaa laitoksen ulkopuolelta (osto tai muu oma tuotanto). Tämä näkyy kustannuksena välilehdellä "7. Tuotot ja kulut".</a:t>
          </a:r>
          <a:endParaRPr lang="fi-FI" sz="1100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556260</xdr:colOff>
      <xdr:row>35</xdr:row>
      <xdr:rowOff>99060</xdr:rowOff>
    </xdr:from>
    <xdr:to>
      <xdr:col>6</xdr:col>
      <xdr:colOff>285750</xdr:colOff>
      <xdr:row>40</xdr:row>
      <xdr:rowOff>76200</xdr:rowOff>
    </xdr:to>
    <xdr:cxnSp macro="">
      <xdr:nvCxnSpPr>
        <xdr:cNvPr id="11" name="Suora nuoliyhdysviiva 10">
          <a:extLst>
            <a:ext uri="{FF2B5EF4-FFF2-40B4-BE49-F238E27FC236}">
              <a16:creationId xmlns:a16="http://schemas.microsoft.com/office/drawing/2014/main" id="{03223820-E71E-FABC-E107-22D8CB47FA3F}"/>
            </a:ext>
          </a:extLst>
        </xdr:cNvPr>
        <xdr:cNvCxnSpPr>
          <a:stCxn id="9" idx="0"/>
        </xdr:cNvCxnSpPr>
      </xdr:nvCxnSpPr>
      <xdr:spPr>
        <a:xfrm flipH="1" flipV="1">
          <a:off x="6568440" y="6819900"/>
          <a:ext cx="339090" cy="861060"/>
        </a:xfrm>
        <a:prstGeom prst="straightConnector1">
          <a:avLst/>
        </a:prstGeom>
        <a:ln>
          <a:prstDash val="sys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84</xdr:row>
          <xdr:rowOff>0</xdr:rowOff>
        </xdr:from>
        <xdr:to>
          <xdr:col>3</xdr:col>
          <xdr:colOff>304800</xdr:colOff>
          <xdr:row>85</xdr:row>
          <xdr:rowOff>45720</xdr:rowOff>
        </xdr:to>
        <xdr:sp macro="" textlink="">
          <xdr:nvSpPr>
            <xdr:cNvPr id="11265" name="Control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7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84</xdr:row>
          <xdr:rowOff>0</xdr:rowOff>
        </xdr:from>
        <xdr:to>
          <xdr:col>5</xdr:col>
          <xdr:colOff>304800</xdr:colOff>
          <xdr:row>85</xdr:row>
          <xdr:rowOff>45720</xdr:rowOff>
        </xdr:to>
        <xdr:sp macro="" textlink="">
          <xdr:nvSpPr>
            <xdr:cNvPr id="11266" name="Control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7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84</xdr:row>
          <xdr:rowOff>0</xdr:rowOff>
        </xdr:from>
        <xdr:to>
          <xdr:col>3</xdr:col>
          <xdr:colOff>304800</xdr:colOff>
          <xdr:row>85</xdr:row>
          <xdr:rowOff>45720</xdr:rowOff>
        </xdr:to>
        <xdr:sp macro="" textlink="">
          <xdr:nvSpPr>
            <xdr:cNvPr id="11267" name="Control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7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84</xdr:row>
          <xdr:rowOff>0</xdr:rowOff>
        </xdr:from>
        <xdr:to>
          <xdr:col>5</xdr:col>
          <xdr:colOff>304800</xdr:colOff>
          <xdr:row>85</xdr:row>
          <xdr:rowOff>45720</xdr:rowOff>
        </xdr:to>
        <xdr:sp macro="" textlink="">
          <xdr:nvSpPr>
            <xdr:cNvPr id="11268" name="Control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7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84</xdr:row>
          <xdr:rowOff>0</xdr:rowOff>
        </xdr:from>
        <xdr:to>
          <xdr:col>3</xdr:col>
          <xdr:colOff>304800</xdr:colOff>
          <xdr:row>85</xdr:row>
          <xdr:rowOff>45720</xdr:rowOff>
        </xdr:to>
        <xdr:sp macro="" textlink="">
          <xdr:nvSpPr>
            <xdr:cNvPr id="11269" name="Control 5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00000000-0008-0000-07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84</xdr:row>
          <xdr:rowOff>0</xdr:rowOff>
        </xdr:from>
        <xdr:to>
          <xdr:col>5</xdr:col>
          <xdr:colOff>304800</xdr:colOff>
          <xdr:row>85</xdr:row>
          <xdr:rowOff>45720</xdr:rowOff>
        </xdr:to>
        <xdr:sp macro="" textlink="">
          <xdr:nvSpPr>
            <xdr:cNvPr id="11270" name="Control 6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7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84</xdr:row>
          <xdr:rowOff>0</xdr:rowOff>
        </xdr:from>
        <xdr:to>
          <xdr:col>3</xdr:col>
          <xdr:colOff>304800</xdr:colOff>
          <xdr:row>85</xdr:row>
          <xdr:rowOff>45720</xdr:rowOff>
        </xdr:to>
        <xdr:sp macro="" textlink="">
          <xdr:nvSpPr>
            <xdr:cNvPr id="11271" name="Control 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7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84</xdr:row>
          <xdr:rowOff>0</xdr:rowOff>
        </xdr:from>
        <xdr:to>
          <xdr:col>5</xdr:col>
          <xdr:colOff>304800</xdr:colOff>
          <xdr:row>85</xdr:row>
          <xdr:rowOff>45720</xdr:rowOff>
        </xdr:to>
        <xdr:sp macro="" textlink="">
          <xdr:nvSpPr>
            <xdr:cNvPr id="11272" name="Control 8" hidden="1">
              <a:extLst>
                <a:ext uri="{63B3BB69-23CF-44E3-9099-C40C66FF867C}">
                  <a14:compatExt spid="_x0000_s11272"/>
                </a:ext>
                <a:ext uri="{FF2B5EF4-FFF2-40B4-BE49-F238E27FC236}">
                  <a16:creationId xmlns:a16="http://schemas.microsoft.com/office/drawing/2014/main" id="{00000000-0008-0000-0700-00000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84</xdr:row>
          <xdr:rowOff>0</xdr:rowOff>
        </xdr:from>
        <xdr:to>
          <xdr:col>3</xdr:col>
          <xdr:colOff>304800</xdr:colOff>
          <xdr:row>85</xdr:row>
          <xdr:rowOff>45720</xdr:rowOff>
        </xdr:to>
        <xdr:sp macro="" textlink="">
          <xdr:nvSpPr>
            <xdr:cNvPr id="11273" name="Control 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7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84</xdr:row>
          <xdr:rowOff>0</xdr:rowOff>
        </xdr:from>
        <xdr:to>
          <xdr:col>5</xdr:col>
          <xdr:colOff>304800</xdr:colOff>
          <xdr:row>85</xdr:row>
          <xdr:rowOff>45720</xdr:rowOff>
        </xdr:to>
        <xdr:sp macro="" textlink="">
          <xdr:nvSpPr>
            <xdr:cNvPr id="11274" name="Control 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7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84</xdr:row>
          <xdr:rowOff>0</xdr:rowOff>
        </xdr:from>
        <xdr:to>
          <xdr:col>5</xdr:col>
          <xdr:colOff>304800</xdr:colOff>
          <xdr:row>85</xdr:row>
          <xdr:rowOff>45720</xdr:rowOff>
        </xdr:to>
        <xdr:sp macro="" textlink="">
          <xdr:nvSpPr>
            <xdr:cNvPr id="11275" name="Control 11" hidden="1">
              <a:extLst>
                <a:ext uri="{63B3BB69-23CF-44E3-9099-C40C66FF867C}">
                  <a14:compatExt spid="_x0000_s11275"/>
                </a:ext>
                <a:ext uri="{FF2B5EF4-FFF2-40B4-BE49-F238E27FC236}">
                  <a16:creationId xmlns:a16="http://schemas.microsoft.com/office/drawing/2014/main" id="{00000000-0008-0000-0700-00000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84</xdr:row>
          <xdr:rowOff>0</xdr:rowOff>
        </xdr:from>
        <xdr:to>
          <xdr:col>5</xdr:col>
          <xdr:colOff>304800</xdr:colOff>
          <xdr:row>85</xdr:row>
          <xdr:rowOff>45720</xdr:rowOff>
        </xdr:to>
        <xdr:sp macro="" textlink="">
          <xdr:nvSpPr>
            <xdr:cNvPr id="11276" name="Control 12" hidden="1">
              <a:extLst>
                <a:ext uri="{63B3BB69-23CF-44E3-9099-C40C66FF867C}">
                  <a14:compatExt spid="_x0000_s11276"/>
                </a:ext>
                <a:ext uri="{FF2B5EF4-FFF2-40B4-BE49-F238E27FC236}">
                  <a16:creationId xmlns:a16="http://schemas.microsoft.com/office/drawing/2014/main" id="{00000000-0008-0000-0700-00000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84</xdr:row>
          <xdr:rowOff>0</xdr:rowOff>
        </xdr:from>
        <xdr:to>
          <xdr:col>5</xdr:col>
          <xdr:colOff>304800</xdr:colOff>
          <xdr:row>85</xdr:row>
          <xdr:rowOff>45720</xdr:rowOff>
        </xdr:to>
        <xdr:sp macro="" textlink="">
          <xdr:nvSpPr>
            <xdr:cNvPr id="11277" name="Control 13" hidden="1">
              <a:extLst>
                <a:ext uri="{63B3BB69-23CF-44E3-9099-C40C66FF867C}">
                  <a14:compatExt spid="_x0000_s11277"/>
                </a:ext>
                <a:ext uri="{FF2B5EF4-FFF2-40B4-BE49-F238E27FC236}">
                  <a16:creationId xmlns:a16="http://schemas.microsoft.com/office/drawing/2014/main" id="{00000000-0008-0000-0700-00000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84</xdr:row>
          <xdr:rowOff>0</xdr:rowOff>
        </xdr:from>
        <xdr:to>
          <xdr:col>7</xdr:col>
          <xdr:colOff>236220</xdr:colOff>
          <xdr:row>85</xdr:row>
          <xdr:rowOff>45720</xdr:rowOff>
        </xdr:to>
        <xdr:sp macro="" textlink="">
          <xdr:nvSpPr>
            <xdr:cNvPr id="11278" name="Control 14" hidden="1">
              <a:extLst>
                <a:ext uri="{63B3BB69-23CF-44E3-9099-C40C66FF867C}">
                  <a14:compatExt spid="_x0000_s11278"/>
                </a:ext>
                <a:ext uri="{FF2B5EF4-FFF2-40B4-BE49-F238E27FC236}">
                  <a16:creationId xmlns:a16="http://schemas.microsoft.com/office/drawing/2014/main" id="{00000000-0008-0000-0700-00000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84</xdr:row>
          <xdr:rowOff>0</xdr:rowOff>
        </xdr:from>
        <xdr:to>
          <xdr:col>5</xdr:col>
          <xdr:colOff>304800</xdr:colOff>
          <xdr:row>85</xdr:row>
          <xdr:rowOff>45720</xdr:rowOff>
        </xdr:to>
        <xdr:sp macro="" textlink="">
          <xdr:nvSpPr>
            <xdr:cNvPr id="11279" name="Control 15" hidden="1">
              <a:extLst>
                <a:ext uri="{63B3BB69-23CF-44E3-9099-C40C66FF867C}">
                  <a14:compatExt spid="_x0000_s11279"/>
                </a:ext>
                <a:ext uri="{FF2B5EF4-FFF2-40B4-BE49-F238E27FC236}">
                  <a16:creationId xmlns:a16="http://schemas.microsoft.com/office/drawing/2014/main" id="{00000000-0008-0000-0700-00000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84</xdr:row>
          <xdr:rowOff>0</xdr:rowOff>
        </xdr:from>
        <xdr:to>
          <xdr:col>7</xdr:col>
          <xdr:colOff>236220</xdr:colOff>
          <xdr:row>85</xdr:row>
          <xdr:rowOff>45720</xdr:rowOff>
        </xdr:to>
        <xdr:sp macro="" textlink="">
          <xdr:nvSpPr>
            <xdr:cNvPr id="11280" name="Control 16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0000000-0008-0000-07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84</xdr:row>
          <xdr:rowOff>0</xdr:rowOff>
        </xdr:from>
        <xdr:to>
          <xdr:col>7</xdr:col>
          <xdr:colOff>236220</xdr:colOff>
          <xdr:row>85</xdr:row>
          <xdr:rowOff>45720</xdr:rowOff>
        </xdr:to>
        <xdr:sp macro="" textlink="">
          <xdr:nvSpPr>
            <xdr:cNvPr id="11281" name="Control 17" hidden="1">
              <a:extLst>
                <a:ext uri="{63B3BB69-23CF-44E3-9099-C40C66FF867C}">
                  <a14:compatExt spid="_x0000_s11281"/>
                </a:ext>
                <a:ext uri="{FF2B5EF4-FFF2-40B4-BE49-F238E27FC236}">
                  <a16:creationId xmlns:a16="http://schemas.microsoft.com/office/drawing/2014/main" id="{00000000-0008-0000-0700-00001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84</xdr:row>
          <xdr:rowOff>0</xdr:rowOff>
        </xdr:from>
        <xdr:to>
          <xdr:col>7</xdr:col>
          <xdr:colOff>236220</xdr:colOff>
          <xdr:row>85</xdr:row>
          <xdr:rowOff>45720</xdr:rowOff>
        </xdr:to>
        <xdr:sp macro="" textlink="">
          <xdr:nvSpPr>
            <xdr:cNvPr id="11282" name="Control 18" hidden="1">
              <a:extLst>
                <a:ext uri="{63B3BB69-23CF-44E3-9099-C40C66FF867C}">
                  <a14:compatExt spid="_x0000_s11282"/>
                </a:ext>
                <a:ext uri="{FF2B5EF4-FFF2-40B4-BE49-F238E27FC236}">
                  <a16:creationId xmlns:a16="http://schemas.microsoft.com/office/drawing/2014/main" id="{00000000-0008-0000-0700-00001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84</xdr:row>
          <xdr:rowOff>0</xdr:rowOff>
        </xdr:from>
        <xdr:to>
          <xdr:col>7</xdr:col>
          <xdr:colOff>236220</xdr:colOff>
          <xdr:row>85</xdr:row>
          <xdr:rowOff>45720</xdr:rowOff>
        </xdr:to>
        <xdr:sp macro="" textlink="">
          <xdr:nvSpPr>
            <xdr:cNvPr id="11283" name="Control 19" hidden="1">
              <a:extLst>
                <a:ext uri="{63B3BB69-23CF-44E3-9099-C40C66FF867C}">
                  <a14:compatExt spid="_x0000_s11283"/>
                </a:ext>
                <a:ext uri="{FF2B5EF4-FFF2-40B4-BE49-F238E27FC236}">
                  <a16:creationId xmlns:a16="http://schemas.microsoft.com/office/drawing/2014/main" id="{00000000-0008-0000-0700-00001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84</xdr:row>
          <xdr:rowOff>0</xdr:rowOff>
        </xdr:from>
        <xdr:to>
          <xdr:col>3</xdr:col>
          <xdr:colOff>304800</xdr:colOff>
          <xdr:row>85</xdr:row>
          <xdr:rowOff>45720</xdr:rowOff>
        </xdr:to>
        <xdr:sp macro="" textlink="">
          <xdr:nvSpPr>
            <xdr:cNvPr id="11284" name="Control 20" hidden="1">
              <a:extLst>
                <a:ext uri="{63B3BB69-23CF-44E3-9099-C40C66FF867C}">
                  <a14:compatExt spid="_x0000_s11284"/>
                </a:ext>
                <a:ext uri="{FF2B5EF4-FFF2-40B4-BE49-F238E27FC236}">
                  <a16:creationId xmlns:a16="http://schemas.microsoft.com/office/drawing/2014/main" id="{00000000-0008-0000-0700-00001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84</xdr:row>
          <xdr:rowOff>0</xdr:rowOff>
        </xdr:from>
        <xdr:to>
          <xdr:col>5</xdr:col>
          <xdr:colOff>304800</xdr:colOff>
          <xdr:row>85</xdr:row>
          <xdr:rowOff>45720</xdr:rowOff>
        </xdr:to>
        <xdr:sp macro="" textlink="">
          <xdr:nvSpPr>
            <xdr:cNvPr id="11285" name="Control 21" hidden="1">
              <a:extLst>
                <a:ext uri="{63B3BB69-23CF-44E3-9099-C40C66FF867C}">
                  <a14:compatExt spid="_x0000_s11285"/>
                </a:ext>
                <a:ext uri="{FF2B5EF4-FFF2-40B4-BE49-F238E27FC236}">
                  <a16:creationId xmlns:a16="http://schemas.microsoft.com/office/drawing/2014/main" id="{00000000-0008-0000-0700-00001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84</xdr:row>
          <xdr:rowOff>0</xdr:rowOff>
        </xdr:from>
        <xdr:to>
          <xdr:col>5</xdr:col>
          <xdr:colOff>304800</xdr:colOff>
          <xdr:row>85</xdr:row>
          <xdr:rowOff>45720</xdr:rowOff>
        </xdr:to>
        <xdr:sp macro="" textlink="">
          <xdr:nvSpPr>
            <xdr:cNvPr id="11286" name="Control 22" hidden="1">
              <a:extLst>
                <a:ext uri="{63B3BB69-23CF-44E3-9099-C40C66FF867C}">
                  <a14:compatExt spid="_x0000_s11286"/>
                </a:ext>
                <a:ext uri="{FF2B5EF4-FFF2-40B4-BE49-F238E27FC236}">
                  <a16:creationId xmlns:a16="http://schemas.microsoft.com/office/drawing/2014/main" id="{00000000-0008-0000-0700-00001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84</xdr:row>
          <xdr:rowOff>0</xdr:rowOff>
        </xdr:from>
        <xdr:to>
          <xdr:col>7</xdr:col>
          <xdr:colOff>236220</xdr:colOff>
          <xdr:row>85</xdr:row>
          <xdr:rowOff>45720</xdr:rowOff>
        </xdr:to>
        <xdr:sp macro="" textlink="">
          <xdr:nvSpPr>
            <xdr:cNvPr id="11287" name="Control 23" hidden="1">
              <a:extLst>
                <a:ext uri="{63B3BB69-23CF-44E3-9099-C40C66FF867C}">
                  <a14:compatExt spid="_x0000_s11287"/>
                </a:ext>
                <a:ext uri="{FF2B5EF4-FFF2-40B4-BE49-F238E27FC236}">
                  <a16:creationId xmlns:a16="http://schemas.microsoft.com/office/drawing/2014/main" id="{00000000-0008-0000-0700-00001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84</xdr:row>
          <xdr:rowOff>0</xdr:rowOff>
        </xdr:from>
        <xdr:to>
          <xdr:col>7</xdr:col>
          <xdr:colOff>236220</xdr:colOff>
          <xdr:row>85</xdr:row>
          <xdr:rowOff>45720</xdr:rowOff>
        </xdr:to>
        <xdr:sp macro="" textlink="">
          <xdr:nvSpPr>
            <xdr:cNvPr id="11288" name="Control 24" hidden="1">
              <a:extLst>
                <a:ext uri="{63B3BB69-23CF-44E3-9099-C40C66FF867C}">
                  <a14:compatExt spid="_x0000_s11288"/>
                </a:ext>
                <a:ext uri="{FF2B5EF4-FFF2-40B4-BE49-F238E27FC236}">
                  <a16:creationId xmlns:a16="http://schemas.microsoft.com/office/drawing/2014/main" id="{00000000-0008-0000-0700-00001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84</xdr:row>
          <xdr:rowOff>0</xdr:rowOff>
        </xdr:from>
        <xdr:to>
          <xdr:col>7</xdr:col>
          <xdr:colOff>236220</xdr:colOff>
          <xdr:row>85</xdr:row>
          <xdr:rowOff>45720</xdr:rowOff>
        </xdr:to>
        <xdr:sp macro="" textlink="">
          <xdr:nvSpPr>
            <xdr:cNvPr id="11289" name="Control 25" hidden="1">
              <a:extLst>
                <a:ext uri="{63B3BB69-23CF-44E3-9099-C40C66FF867C}">
                  <a14:compatExt spid="_x0000_s11289"/>
                </a:ext>
                <a:ext uri="{FF2B5EF4-FFF2-40B4-BE49-F238E27FC236}">
                  <a16:creationId xmlns:a16="http://schemas.microsoft.com/office/drawing/2014/main" id="{00000000-0008-0000-0700-00001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mailto:ville.pyykkonen@luke.fi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5.xml"/><Relationship Id="rId13" Type="http://schemas.openxmlformats.org/officeDocument/2006/relationships/control" Target="../activeX/activeX10.xml"/><Relationship Id="rId18" Type="http://schemas.openxmlformats.org/officeDocument/2006/relationships/control" Target="../activeX/activeX15.xml"/><Relationship Id="rId26" Type="http://schemas.openxmlformats.org/officeDocument/2006/relationships/control" Target="../activeX/activeX23.xml"/><Relationship Id="rId3" Type="http://schemas.openxmlformats.org/officeDocument/2006/relationships/control" Target="../activeX/activeX1.xml"/><Relationship Id="rId21" Type="http://schemas.openxmlformats.org/officeDocument/2006/relationships/control" Target="../activeX/activeX18.xml"/><Relationship Id="rId7" Type="http://schemas.openxmlformats.org/officeDocument/2006/relationships/control" Target="../activeX/activeX4.xml"/><Relationship Id="rId12" Type="http://schemas.openxmlformats.org/officeDocument/2006/relationships/control" Target="../activeX/activeX9.xml"/><Relationship Id="rId17" Type="http://schemas.openxmlformats.org/officeDocument/2006/relationships/control" Target="../activeX/activeX14.xml"/><Relationship Id="rId25" Type="http://schemas.openxmlformats.org/officeDocument/2006/relationships/control" Target="../activeX/activeX22.xml"/><Relationship Id="rId2" Type="http://schemas.openxmlformats.org/officeDocument/2006/relationships/vmlDrawing" Target="../drawings/vmlDrawing7.vml"/><Relationship Id="rId16" Type="http://schemas.openxmlformats.org/officeDocument/2006/relationships/control" Target="../activeX/activeX13.xml"/><Relationship Id="rId20" Type="http://schemas.openxmlformats.org/officeDocument/2006/relationships/control" Target="../activeX/activeX17.xml"/><Relationship Id="rId29" Type="http://schemas.openxmlformats.org/officeDocument/2006/relationships/control" Target="../activeX/activeX25.xml"/><Relationship Id="rId1" Type="http://schemas.openxmlformats.org/officeDocument/2006/relationships/drawing" Target="../drawings/drawing3.xml"/><Relationship Id="rId6" Type="http://schemas.openxmlformats.org/officeDocument/2006/relationships/control" Target="../activeX/activeX3.xml"/><Relationship Id="rId11" Type="http://schemas.openxmlformats.org/officeDocument/2006/relationships/control" Target="../activeX/activeX8.xml"/><Relationship Id="rId24" Type="http://schemas.openxmlformats.org/officeDocument/2006/relationships/control" Target="../activeX/activeX21.xml"/><Relationship Id="rId5" Type="http://schemas.openxmlformats.org/officeDocument/2006/relationships/control" Target="../activeX/activeX2.xml"/><Relationship Id="rId15" Type="http://schemas.openxmlformats.org/officeDocument/2006/relationships/control" Target="../activeX/activeX12.xml"/><Relationship Id="rId23" Type="http://schemas.openxmlformats.org/officeDocument/2006/relationships/control" Target="../activeX/activeX20.xml"/><Relationship Id="rId28" Type="http://schemas.openxmlformats.org/officeDocument/2006/relationships/image" Target="../media/image6.emf"/><Relationship Id="rId10" Type="http://schemas.openxmlformats.org/officeDocument/2006/relationships/control" Target="../activeX/activeX7.xml"/><Relationship Id="rId19" Type="http://schemas.openxmlformats.org/officeDocument/2006/relationships/control" Target="../activeX/activeX16.xml"/><Relationship Id="rId4" Type="http://schemas.openxmlformats.org/officeDocument/2006/relationships/image" Target="../media/image5.emf"/><Relationship Id="rId9" Type="http://schemas.openxmlformats.org/officeDocument/2006/relationships/control" Target="../activeX/activeX6.xml"/><Relationship Id="rId14" Type="http://schemas.openxmlformats.org/officeDocument/2006/relationships/control" Target="../activeX/activeX11.xml"/><Relationship Id="rId22" Type="http://schemas.openxmlformats.org/officeDocument/2006/relationships/control" Target="../activeX/activeX19.xml"/><Relationship Id="rId27" Type="http://schemas.openxmlformats.org/officeDocument/2006/relationships/control" Target="../activeX/activeX24.xml"/><Relationship Id="rId30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95A0B-E77A-4C19-A95B-8F975B46509F}">
  <dimension ref="A1:D53"/>
  <sheetViews>
    <sheetView topLeftCell="A16" workbookViewId="0">
      <selection activeCell="G41" sqref="G41"/>
    </sheetView>
  </sheetViews>
  <sheetFormatPr defaultRowHeight="14.4" x14ac:dyDescent="0.3"/>
  <cols>
    <col min="1" max="1" width="11.88671875" customWidth="1"/>
  </cols>
  <sheetData>
    <row r="1" s="1" customFormat="1" x14ac:dyDescent="0.3"/>
    <row r="2" s="1" customFormat="1" x14ac:dyDescent="0.3"/>
    <row r="3" s="1" customFormat="1" x14ac:dyDescent="0.3"/>
    <row r="4" s="1" customFormat="1" x14ac:dyDescent="0.3"/>
    <row r="5" s="1" customFormat="1" x14ac:dyDescent="0.3"/>
    <row r="6" s="1" customFormat="1" x14ac:dyDescent="0.3"/>
    <row r="7" s="1" customFormat="1" x14ac:dyDescent="0.3"/>
    <row r="8" s="1" customFormat="1" x14ac:dyDescent="0.3"/>
    <row r="9" s="1" customFormat="1" x14ac:dyDescent="0.3"/>
    <row r="10" s="1" customFormat="1" x14ac:dyDescent="0.3"/>
    <row r="11" s="1" customFormat="1" x14ac:dyDescent="0.3"/>
    <row r="12" s="1" customFormat="1" x14ac:dyDescent="0.3"/>
    <row r="13" s="1" customFormat="1" x14ac:dyDescent="0.3"/>
    <row r="14" s="1" customFormat="1" x14ac:dyDescent="0.3"/>
    <row r="15" s="1" customFormat="1" x14ac:dyDescent="0.3"/>
    <row r="16" s="1" customFormat="1" x14ac:dyDescent="0.3"/>
    <row r="17" spans="1:4" s="1" customFormat="1" x14ac:dyDescent="0.3"/>
    <row r="18" spans="1:4" s="1" customFormat="1" x14ac:dyDescent="0.3"/>
    <row r="19" spans="1:4" s="1" customFormat="1" x14ac:dyDescent="0.3"/>
    <row r="20" spans="1:4" s="1" customFormat="1" x14ac:dyDescent="0.3"/>
    <row r="21" spans="1:4" s="1" customFormat="1" x14ac:dyDescent="0.3"/>
    <row r="22" spans="1:4" s="1" customFormat="1" x14ac:dyDescent="0.3"/>
    <row r="23" spans="1:4" s="1" customFormat="1" x14ac:dyDescent="0.3"/>
    <row r="24" spans="1:4" s="1" customFormat="1" x14ac:dyDescent="0.3"/>
    <row r="25" spans="1:4" s="1" customFormat="1" x14ac:dyDescent="0.3"/>
    <row r="26" spans="1:4" s="1" customFormat="1" x14ac:dyDescent="0.3"/>
    <row r="27" spans="1:4" s="1" customFormat="1" ht="23.4" x14ac:dyDescent="0.45">
      <c r="A27" s="7" t="s">
        <v>591</v>
      </c>
    </row>
    <row r="28" spans="1:4" s="1" customFormat="1" ht="23.4" x14ac:dyDescent="0.45">
      <c r="A28" s="8" t="s">
        <v>630</v>
      </c>
    </row>
    <row r="29" spans="1:4" s="1" customFormat="1" ht="18" x14ac:dyDescent="0.35">
      <c r="A29" s="5" t="s">
        <v>594</v>
      </c>
      <c r="D29" s="3" t="s">
        <v>396</v>
      </c>
    </row>
    <row r="30" spans="1:4" s="1" customFormat="1" ht="15" customHeight="1" x14ac:dyDescent="0.5">
      <c r="A30" s="2"/>
      <c r="B30" s="4"/>
    </row>
    <row r="31" spans="1:4" s="1" customFormat="1" ht="25.8" x14ac:dyDescent="0.5">
      <c r="A31" s="2" t="s">
        <v>593</v>
      </c>
      <c r="B31" s="2"/>
      <c r="C31" s="2"/>
    </row>
    <row r="32" spans="1:4" s="1" customFormat="1" ht="25.8" x14ac:dyDescent="0.5">
      <c r="A32" s="5" t="s">
        <v>431</v>
      </c>
      <c r="B32" s="2"/>
      <c r="C32" s="2"/>
    </row>
    <row r="33" spans="1:3" s="1" customFormat="1" ht="25.8" x14ac:dyDescent="0.5">
      <c r="A33" s="6" t="s">
        <v>592</v>
      </c>
      <c r="B33" s="2"/>
      <c r="C33" s="2"/>
    </row>
    <row r="34" spans="1:3" s="1" customFormat="1" ht="25.8" x14ac:dyDescent="0.5">
      <c r="A34" s="10">
        <v>123</v>
      </c>
      <c r="B34" s="5" t="s">
        <v>580</v>
      </c>
      <c r="C34" s="2"/>
    </row>
    <row r="35" spans="1:3" s="1" customFormat="1" ht="25.8" x14ac:dyDescent="0.5">
      <c r="A35" s="11">
        <v>456</v>
      </c>
      <c r="B35" s="5" t="s">
        <v>581</v>
      </c>
      <c r="C35" s="2"/>
    </row>
    <row r="36" spans="1:3" s="1" customFormat="1" ht="25.8" x14ac:dyDescent="0.5">
      <c r="A36" s="9" t="s">
        <v>98</v>
      </c>
      <c r="B36" s="5" t="s">
        <v>582</v>
      </c>
      <c r="C36" s="2"/>
    </row>
    <row r="37" spans="1:3" s="1" customFormat="1" x14ac:dyDescent="0.3"/>
    <row r="38" spans="1:3" s="1" customFormat="1" ht="25.8" x14ac:dyDescent="0.5">
      <c r="A38" s="10">
        <v>789</v>
      </c>
      <c r="B38" s="5" t="s">
        <v>595</v>
      </c>
    </row>
    <row r="39" spans="1:3" s="1" customFormat="1" x14ac:dyDescent="0.3"/>
    <row r="40" spans="1:3" s="1" customFormat="1" x14ac:dyDescent="0.3"/>
    <row r="41" spans="1:3" s="1" customFormat="1" x14ac:dyDescent="0.3"/>
    <row r="42" spans="1:3" s="1" customFormat="1" x14ac:dyDescent="0.3"/>
    <row r="43" spans="1:3" s="1" customFormat="1" x14ac:dyDescent="0.3"/>
    <row r="44" spans="1:3" s="1" customFormat="1" x14ac:dyDescent="0.3"/>
    <row r="45" spans="1:3" s="1" customFormat="1" x14ac:dyDescent="0.3"/>
    <row r="46" spans="1:3" s="1" customFormat="1" x14ac:dyDescent="0.3"/>
    <row r="47" spans="1:3" s="1" customFormat="1" x14ac:dyDescent="0.3"/>
    <row r="48" spans="1:3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</sheetData>
  <sheetProtection algorithmName="SHA-512" hashValue="I34oVbR1N8ASH+LyuRdtBhRA97Hl7r+qds/wIy9MrM041ppNt4k1ZKx45VkDXFOCqAMM0sF3aNmPGAe5SsZXkg==" saltValue="EHlThfcwuE7i7PypJPZ2GA==" spinCount="100000" sheet="1" objects="1" scenarios="1"/>
  <protectedRanges>
    <protectedRange sqref="A34:A38" name="Alue1"/>
  </protectedRanges>
  <hyperlinks>
    <hyperlink ref="D29" r:id="rId1" xr:uid="{EA86BDA8-B941-4906-8B9C-69769109A609}"/>
  </hyperlinks>
  <pageMargins left="0.7" right="0.7" top="0.75" bottom="0.75" header="0.3" footer="0.3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88A05CA-F653-4460-826A-7B88925E680D}">
          <x14:formula1>
            <xm:f>'1. Syötteet'!$B$63:$B$64</xm:f>
          </x14:formula1>
          <xm:sqref>A36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17809-4FBB-40E2-AABA-890E667F2D52}">
  <dimension ref="A1:H133"/>
  <sheetViews>
    <sheetView workbookViewId="0">
      <selection activeCell="D11" sqref="D11"/>
    </sheetView>
  </sheetViews>
  <sheetFormatPr defaultRowHeight="14.4" x14ac:dyDescent="0.3"/>
  <cols>
    <col min="1" max="2" width="4.88671875" style="80" customWidth="1"/>
    <col min="3" max="3" width="65.33203125" style="80" customWidth="1"/>
    <col min="4" max="4" width="10.88671875" style="80" customWidth="1"/>
    <col min="5" max="5" width="16.109375" style="80" customWidth="1"/>
    <col min="6" max="16384" width="8.88671875" style="80"/>
  </cols>
  <sheetData>
    <row r="1" spans="1:5" s="55" customFormat="1" ht="24" thickBot="1" x14ac:dyDescent="0.5">
      <c r="A1" s="13" t="s">
        <v>557</v>
      </c>
      <c r="B1" s="13"/>
      <c r="C1" s="13"/>
      <c r="D1" s="13"/>
      <c r="E1" s="13"/>
    </row>
    <row r="2" spans="1:5" s="55" customFormat="1" ht="15" thickTop="1" x14ac:dyDescent="0.3"/>
    <row r="3" spans="1:5" s="55" customFormat="1" x14ac:dyDescent="0.3">
      <c r="A3" s="17" t="s">
        <v>285</v>
      </c>
      <c r="B3" s="17"/>
      <c r="C3" s="17"/>
      <c r="D3" s="17"/>
      <c r="E3" s="17"/>
    </row>
    <row r="4" spans="1:5" s="55" customFormat="1" x14ac:dyDescent="0.3">
      <c r="A4" s="337"/>
      <c r="B4" s="67" t="s">
        <v>286</v>
      </c>
      <c r="C4" s="67"/>
      <c r="D4" s="337"/>
      <c r="E4" s="337"/>
    </row>
    <row r="5" spans="1:5" s="55" customFormat="1" x14ac:dyDescent="0.3">
      <c r="C5" s="55" t="s">
        <v>320</v>
      </c>
      <c r="D5" s="58">
        <f>'3. Tekniikka'!B4</f>
        <v>6000</v>
      </c>
      <c r="E5" s="55" t="s">
        <v>247</v>
      </c>
    </row>
    <row r="6" spans="1:5" s="55" customFormat="1" x14ac:dyDescent="0.3">
      <c r="C6" s="55" t="s">
        <v>319</v>
      </c>
      <c r="D6" s="58">
        <f>'3. Tekniikka'!B13</f>
        <v>1000</v>
      </c>
      <c r="E6" s="55" t="s">
        <v>247</v>
      </c>
    </row>
    <row r="7" spans="1:5" s="55" customFormat="1" x14ac:dyDescent="0.3">
      <c r="A7" s="337"/>
      <c r="B7" s="67" t="s">
        <v>289</v>
      </c>
      <c r="C7" s="67"/>
      <c r="D7" s="337"/>
      <c r="E7" s="337"/>
    </row>
    <row r="8" spans="1:5" s="55" customFormat="1" x14ac:dyDescent="0.3">
      <c r="C8" s="55" t="s">
        <v>290</v>
      </c>
      <c r="D8" s="58">
        <f>'1. Syötteet'!C48</f>
        <v>7000</v>
      </c>
      <c r="E8" s="55" t="s">
        <v>247</v>
      </c>
    </row>
    <row r="9" spans="1:5" s="55" customFormat="1" x14ac:dyDescent="0.3">
      <c r="C9" s="55" t="s">
        <v>291</v>
      </c>
      <c r="D9" s="58">
        <f>'1. Syötteet'!D48</f>
        <v>840</v>
      </c>
      <c r="E9" s="55" t="s">
        <v>247</v>
      </c>
    </row>
    <row r="10" spans="1:5" s="55" customFormat="1" x14ac:dyDescent="0.3">
      <c r="C10" s="55" t="s">
        <v>248</v>
      </c>
      <c r="D10" s="66">
        <f>'1. Syötteet'!D47</f>
        <v>12</v>
      </c>
      <c r="E10" s="55" t="s">
        <v>249</v>
      </c>
    </row>
    <row r="11" spans="1:5" s="55" customFormat="1" ht="16.2" x14ac:dyDescent="0.3">
      <c r="C11" s="55" t="s">
        <v>292</v>
      </c>
      <c r="D11" s="79">
        <f>'1. Syötteet'!C46</f>
        <v>0</v>
      </c>
      <c r="E11" s="55" t="s">
        <v>294</v>
      </c>
    </row>
    <row r="12" spans="1:5" s="55" customFormat="1" ht="16.2" x14ac:dyDescent="0.3">
      <c r="C12" s="55" t="s">
        <v>293</v>
      </c>
      <c r="D12" s="338">
        <f>'2. Laitostyyppi'!B13</f>
        <v>0</v>
      </c>
      <c r="E12" s="55" t="s">
        <v>295</v>
      </c>
    </row>
    <row r="13" spans="1:5" s="55" customFormat="1" x14ac:dyDescent="0.3">
      <c r="A13" s="17" t="s">
        <v>106</v>
      </c>
      <c r="B13" s="17"/>
      <c r="C13" s="17"/>
      <c r="D13" s="17"/>
      <c r="E13" s="17"/>
    </row>
    <row r="14" spans="1:5" s="55" customFormat="1" x14ac:dyDescent="0.3">
      <c r="A14" s="337"/>
      <c r="B14" s="67" t="s">
        <v>250</v>
      </c>
      <c r="C14" s="67"/>
      <c r="D14" s="337"/>
      <c r="E14" s="337"/>
    </row>
    <row r="15" spans="1:5" s="55" customFormat="1" ht="16.2" x14ac:dyDescent="0.3">
      <c r="C15" s="55" t="s">
        <v>251</v>
      </c>
      <c r="D15" s="339">
        <f>'3. Tekniikka'!B35</f>
        <v>2.8653061224489798</v>
      </c>
      <c r="E15" s="55" t="s">
        <v>558</v>
      </c>
    </row>
    <row r="16" spans="1:5" s="55" customFormat="1" x14ac:dyDescent="0.3">
      <c r="C16" s="55" t="s">
        <v>296</v>
      </c>
      <c r="D16" s="55">
        <f>'3. Tekniikka'!B31</f>
        <v>35</v>
      </c>
      <c r="E16" s="55" t="s">
        <v>252</v>
      </c>
    </row>
    <row r="17" spans="1:5" s="55" customFormat="1" ht="16.2" x14ac:dyDescent="0.3">
      <c r="C17" s="55" t="s">
        <v>615</v>
      </c>
      <c r="D17" s="338">
        <f>'3. Tekniikka'!B33</f>
        <v>671.23287671232868</v>
      </c>
      <c r="E17" s="55" t="s">
        <v>426</v>
      </c>
    </row>
    <row r="18" spans="1:5" s="55" customFormat="1" x14ac:dyDescent="0.3">
      <c r="A18" s="337"/>
      <c r="B18" s="67" t="s">
        <v>253</v>
      </c>
      <c r="C18" s="67"/>
      <c r="D18" s="337"/>
      <c r="E18" s="337"/>
    </row>
    <row r="19" spans="1:5" s="55" customFormat="1" ht="16.2" x14ac:dyDescent="0.3">
      <c r="C19" s="55" t="s">
        <v>612</v>
      </c>
      <c r="D19" s="340" t="str">
        <f>'5. Ravinteet'!I39</f>
        <v>-</v>
      </c>
      <c r="E19" s="55" t="s">
        <v>426</v>
      </c>
    </row>
    <row r="20" spans="1:5" s="55" customFormat="1" ht="16.2" x14ac:dyDescent="0.3">
      <c r="C20" s="55" t="s">
        <v>611</v>
      </c>
      <c r="D20" s="340" t="str">
        <f>IF('5. Ravinteet'!I29="-","-",'5. Ravinteet'!I29*2)</f>
        <v>-</v>
      </c>
      <c r="E20" s="55" t="s">
        <v>426</v>
      </c>
    </row>
    <row r="21" spans="1:5" s="55" customFormat="1" x14ac:dyDescent="0.3">
      <c r="A21" s="17" t="s">
        <v>99</v>
      </c>
      <c r="B21" s="17"/>
      <c r="C21" s="17"/>
      <c r="D21" s="17"/>
      <c r="E21" s="17"/>
    </row>
    <row r="22" spans="1:5" s="55" customFormat="1" x14ac:dyDescent="0.3">
      <c r="A22" s="67"/>
      <c r="B22" s="67" t="s">
        <v>254</v>
      </c>
      <c r="C22" s="67"/>
      <c r="D22" s="67"/>
      <c r="E22" s="337"/>
    </row>
    <row r="23" spans="1:5" s="55" customFormat="1" x14ac:dyDescent="0.3">
      <c r="C23" s="55" t="s">
        <v>287</v>
      </c>
      <c r="D23" s="58">
        <f>'4. Energia'!B3</f>
        <v>1441.2029414880471</v>
      </c>
      <c r="E23" s="55" t="s">
        <v>127</v>
      </c>
    </row>
    <row r="24" spans="1:5" s="55" customFormat="1" x14ac:dyDescent="0.3">
      <c r="C24" s="55" t="s">
        <v>255</v>
      </c>
      <c r="D24" s="58">
        <f>'4. Energia'!B4</f>
        <v>164.52088373151221</v>
      </c>
      <c r="E24" s="55" t="s">
        <v>256</v>
      </c>
    </row>
    <row r="25" spans="1:5" s="55" customFormat="1" ht="16.2" x14ac:dyDescent="0.3">
      <c r="C25" s="55" t="s">
        <v>257</v>
      </c>
      <c r="D25" s="58">
        <f>'4. Energia'!B5</f>
        <v>241100.11755230752</v>
      </c>
      <c r="E25" s="55" t="s">
        <v>426</v>
      </c>
    </row>
    <row r="26" spans="1:5" s="55" customFormat="1" x14ac:dyDescent="0.3">
      <c r="C26" s="55" t="s">
        <v>288</v>
      </c>
      <c r="D26" s="338">
        <f>'4. Energia'!F15</f>
        <v>41.949751115644702</v>
      </c>
      <c r="E26" s="55" t="s">
        <v>299</v>
      </c>
    </row>
    <row r="27" spans="1:5" s="55" customFormat="1" x14ac:dyDescent="0.3">
      <c r="C27" s="55" t="s">
        <v>297</v>
      </c>
      <c r="D27" s="338">
        <f>'4. Energia'!F14</f>
        <v>83.899502231289404</v>
      </c>
      <c r="E27" s="55" t="s">
        <v>300</v>
      </c>
    </row>
    <row r="28" spans="1:5" s="55" customFormat="1" x14ac:dyDescent="0.3">
      <c r="C28" s="55" t="s">
        <v>298</v>
      </c>
      <c r="D28" s="338">
        <f>'4. Energia'!F12</f>
        <v>24.819240048243486</v>
      </c>
      <c r="E28" s="55" t="s">
        <v>300</v>
      </c>
    </row>
    <row r="29" spans="1:5" s="55" customFormat="1" x14ac:dyDescent="0.3">
      <c r="C29" s="60" t="s">
        <v>559</v>
      </c>
      <c r="D29" s="338">
        <f>'4. Energia'!F16+'4. Energia'!F17</f>
        <v>0</v>
      </c>
      <c r="E29" s="55" t="s">
        <v>104</v>
      </c>
    </row>
    <row r="30" spans="1:5" s="55" customFormat="1" x14ac:dyDescent="0.3">
      <c r="A30" s="67"/>
      <c r="B30" s="67" t="s">
        <v>103</v>
      </c>
      <c r="C30" s="67"/>
      <c r="D30" s="67"/>
      <c r="E30" s="337"/>
    </row>
    <row r="31" spans="1:5" s="55" customFormat="1" x14ac:dyDescent="0.3">
      <c r="C31" s="55" t="s">
        <v>311</v>
      </c>
      <c r="D31" s="58">
        <f>'4. Energia'!D12+'4. Energia'!D14</f>
        <v>952.37618236870821</v>
      </c>
      <c r="E31" s="55" t="s">
        <v>127</v>
      </c>
    </row>
    <row r="32" spans="1:5" s="55" customFormat="1" x14ac:dyDescent="0.3">
      <c r="C32" s="55" t="s">
        <v>321</v>
      </c>
      <c r="D32" s="58">
        <f>'4. Energia'!D35</f>
        <v>217.41654282261291</v>
      </c>
      <c r="E32" s="55" t="s">
        <v>127</v>
      </c>
    </row>
    <row r="33" spans="1:8" s="55" customFormat="1" x14ac:dyDescent="0.3">
      <c r="C33" s="55" t="s">
        <v>562</v>
      </c>
      <c r="D33" s="341">
        <f>'4. Energia'!H35</f>
        <v>734.95963954609533</v>
      </c>
      <c r="E33" s="55" t="s">
        <v>127</v>
      </c>
    </row>
    <row r="34" spans="1:8" s="55" customFormat="1" x14ac:dyDescent="0.3">
      <c r="C34" s="55" t="s">
        <v>614</v>
      </c>
      <c r="D34" s="58">
        <f>'4. Energia'!N35</f>
        <v>0</v>
      </c>
      <c r="E34" s="55" t="s">
        <v>127</v>
      </c>
      <c r="H34" s="58"/>
    </row>
    <row r="35" spans="1:8" s="55" customFormat="1" x14ac:dyDescent="0.3">
      <c r="A35" s="67"/>
      <c r="B35" s="67" t="s">
        <v>302</v>
      </c>
      <c r="C35" s="67"/>
      <c r="D35" s="67"/>
      <c r="E35" s="337"/>
    </row>
    <row r="36" spans="1:8" s="55" customFormat="1" x14ac:dyDescent="0.3">
      <c r="C36" s="55" t="s">
        <v>301</v>
      </c>
      <c r="D36" s="58">
        <f>'4. Energia'!B36</f>
        <v>367.47981977304761</v>
      </c>
      <c r="E36" s="55" t="s">
        <v>127</v>
      </c>
    </row>
    <row r="37" spans="1:8" s="55" customFormat="1" x14ac:dyDescent="0.3">
      <c r="C37" s="55" t="s">
        <v>258</v>
      </c>
      <c r="D37" s="58">
        <f>'4. Energia'!D36</f>
        <v>74.753194139507343</v>
      </c>
      <c r="E37" s="55" t="s">
        <v>127</v>
      </c>
    </row>
    <row r="38" spans="1:8" s="55" customFormat="1" x14ac:dyDescent="0.3">
      <c r="C38" s="55" t="s">
        <v>561</v>
      </c>
      <c r="D38" s="338">
        <f>'4. Energia'!H36</f>
        <v>292.72662563354027</v>
      </c>
      <c r="E38" s="55" t="s">
        <v>127</v>
      </c>
    </row>
    <row r="39" spans="1:8" s="55" customFormat="1" x14ac:dyDescent="0.3">
      <c r="C39" s="55" t="s">
        <v>614</v>
      </c>
      <c r="D39" s="58">
        <f>'4. Energia'!N36</f>
        <v>0</v>
      </c>
      <c r="E39" s="55" t="s">
        <v>127</v>
      </c>
    </row>
    <row r="40" spans="1:8" s="55" customFormat="1" x14ac:dyDescent="0.3">
      <c r="A40" s="67"/>
      <c r="B40" s="67" t="s">
        <v>303</v>
      </c>
      <c r="C40" s="67"/>
      <c r="D40" s="67"/>
      <c r="E40" s="337"/>
    </row>
    <row r="41" spans="1:8" s="55" customFormat="1" x14ac:dyDescent="0.3">
      <c r="C41" s="55" t="s">
        <v>427</v>
      </c>
      <c r="D41" s="58">
        <f>'4. Energia'!N39</f>
        <v>0</v>
      </c>
      <c r="E41" s="55" t="s">
        <v>127</v>
      </c>
    </row>
    <row r="42" spans="1:8" s="55" customFormat="1" x14ac:dyDescent="0.3">
      <c r="A42" s="67"/>
      <c r="B42" s="67" t="s">
        <v>560</v>
      </c>
      <c r="C42" s="67"/>
      <c r="D42" s="67"/>
      <c r="E42" s="337"/>
    </row>
    <row r="43" spans="1:8" s="55" customFormat="1" x14ac:dyDescent="0.3">
      <c r="C43" s="55" t="s">
        <v>563</v>
      </c>
      <c r="D43" s="55">
        <f>'4. Energia'!D16+'4. Energia'!D17</f>
        <v>0</v>
      </c>
      <c r="E43" s="55" t="s">
        <v>127</v>
      </c>
    </row>
    <row r="44" spans="1:8" s="55" customFormat="1" x14ac:dyDescent="0.3">
      <c r="C44" s="60" t="s">
        <v>613</v>
      </c>
      <c r="D44" s="55">
        <f>D43*1000/13.9</f>
        <v>0</v>
      </c>
      <c r="E44" s="55" t="s">
        <v>259</v>
      </c>
    </row>
    <row r="45" spans="1:8" s="55" customFormat="1" x14ac:dyDescent="0.3">
      <c r="A45" s="17" t="s">
        <v>260</v>
      </c>
      <c r="B45" s="17"/>
      <c r="C45" s="17"/>
      <c r="D45" s="17"/>
      <c r="E45" s="17"/>
    </row>
    <row r="46" spans="1:8" s="62" customFormat="1" x14ac:dyDescent="0.3">
      <c r="A46" s="67"/>
      <c r="B46" s="67" t="s">
        <v>602</v>
      </c>
      <c r="C46" s="67"/>
      <c r="D46" s="342">
        <f>'5. Ravinteet'!D5</f>
        <v>6706.5852952244413</v>
      </c>
      <c r="E46" s="67" t="s">
        <v>262</v>
      </c>
    </row>
    <row r="47" spans="1:8" s="55" customFormat="1" x14ac:dyDescent="0.3">
      <c r="C47" s="55" t="s">
        <v>263</v>
      </c>
      <c r="D47" s="339">
        <f>'5. Ravinteet'!D10</f>
        <v>8.149979030515702</v>
      </c>
      <c r="E47" s="55" t="s">
        <v>249</v>
      </c>
      <c r="G47" s="62"/>
    </row>
    <row r="48" spans="1:8" s="55" customFormat="1" x14ac:dyDescent="0.3">
      <c r="C48" s="55" t="s">
        <v>264</v>
      </c>
      <c r="D48" s="66">
        <f>'5. Ravinteet'!D12</f>
        <v>5.6213405690739586</v>
      </c>
      <c r="E48" s="55" t="s">
        <v>265</v>
      </c>
      <c r="G48" s="62"/>
    </row>
    <row r="49" spans="1:7" s="55" customFormat="1" x14ac:dyDescent="0.3">
      <c r="C49" s="55" t="s">
        <v>266</v>
      </c>
      <c r="D49" s="66">
        <f>'5. Ravinteet'!D13</f>
        <v>3.3870643522933346</v>
      </c>
      <c r="E49" s="55" t="s">
        <v>265</v>
      </c>
      <c r="G49" s="62"/>
    </row>
    <row r="50" spans="1:7" s="55" customFormat="1" x14ac:dyDescent="0.3">
      <c r="C50" s="55" t="s">
        <v>267</v>
      </c>
      <c r="D50" s="66">
        <f>'5. Ravinteet'!D14</f>
        <v>0.93937521446063488</v>
      </c>
      <c r="E50" s="55" t="s">
        <v>265</v>
      </c>
      <c r="G50" s="62"/>
    </row>
    <row r="51" spans="1:7" s="55" customFormat="1" x14ac:dyDescent="0.3">
      <c r="C51" s="55" t="s">
        <v>268</v>
      </c>
      <c r="D51" s="66">
        <f>'5. Ravinteet'!D15</f>
        <v>5.2783940622073766</v>
      </c>
      <c r="E51" s="55" t="s">
        <v>265</v>
      </c>
      <c r="G51" s="62"/>
    </row>
    <row r="52" spans="1:7" s="55" customFormat="1" x14ac:dyDescent="0.3">
      <c r="C52" s="62" t="s">
        <v>304</v>
      </c>
      <c r="D52" s="343">
        <f>'5. Ravinteet'!G18</f>
        <v>5015.6359790693759</v>
      </c>
      <c r="E52" s="62" t="s">
        <v>259</v>
      </c>
      <c r="G52" s="62"/>
    </row>
    <row r="53" spans="1:7" s="62" customFormat="1" x14ac:dyDescent="0.3">
      <c r="A53" s="67"/>
      <c r="B53" s="67" t="s">
        <v>261</v>
      </c>
      <c r="C53" s="67"/>
      <c r="D53" s="344" t="str">
        <f>'5. Ravinteet'!I39</f>
        <v>-</v>
      </c>
      <c r="E53" s="67" t="s">
        <v>262</v>
      </c>
    </row>
    <row r="54" spans="1:7" s="55" customFormat="1" x14ac:dyDescent="0.3">
      <c r="C54" s="55" t="s">
        <v>263</v>
      </c>
      <c r="D54" s="345" t="str">
        <f>'5. Ravinteet'!E40</f>
        <v>-</v>
      </c>
      <c r="E54" s="55" t="s">
        <v>249</v>
      </c>
      <c r="G54" s="62"/>
    </row>
    <row r="55" spans="1:7" s="55" customFormat="1" x14ac:dyDescent="0.3">
      <c r="C55" s="55" t="s">
        <v>264</v>
      </c>
      <c r="D55" s="346" t="str">
        <f>'5. Ravinteet'!E42</f>
        <v>-</v>
      </c>
      <c r="E55" s="55" t="s">
        <v>265</v>
      </c>
      <c r="G55" s="62"/>
    </row>
    <row r="56" spans="1:7" s="55" customFormat="1" x14ac:dyDescent="0.3">
      <c r="C56" s="55" t="s">
        <v>266</v>
      </c>
      <c r="D56" s="346" t="str">
        <f>'5. Ravinteet'!E43</f>
        <v>-</v>
      </c>
      <c r="E56" s="55" t="s">
        <v>265</v>
      </c>
      <c r="G56" s="62"/>
    </row>
    <row r="57" spans="1:7" s="55" customFormat="1" x14ac:dyDescent="0.3">
      <c r="C57" s="55" t="s">
        <v>267</v>
      </c>
      <c r="D57" s="346" t="str">
        <f>'5. Ravinteet'!E44</f>
        <v>-</v>
      </c>
      <c r="E57" s="55" t="s">
        <v>265</v>
      </c>
      <c r="G57" s="62"/>
    </row>
    <row r="58" spans="1:7" s="55" customFormat="1" x14ac:dyDescent="0.3">
      <c r="C58" s="55" t="s">
        <v>268</v>
      </c>
      <c r="D58" s="346" t="str">
        <f>'5. Ravinteet'!E45</f>
        <v>-</v>
      </c>
      <c r="E58" s="55" t="s">
        <v>265</v>
      </c>
      <c r="G58" s="62"/>
    </row>
    <row r="59" spans="1:7" s="62" customFormat="1" x14ac:dyDescent="0.3">
      <c r="A59" s="67"/>
      <c r="B59" s="67" t="s">
        <v>269</v>
      </c>
      <c r="C59" s="67"/>
      <c r="D59" s="344" t="str">
        <f>'5. Ravinteet'!I29</f>
        <v>-</v>
      </c>
      <c r="E59" s="67" t="s">
        <v>262</v>
      </c>
    </row>
    <row r="60" spans="1:7" s="55" customFormat="1" x14ac:dyDescent="0.3">
      <c r="C60" s="55" t="s">
        <v>263</v>
      </c>
      <c r="D60" s="345" t="str">
        <f>'5. Ravinteet'!E30</f>
        <v>-</v>
      </c>
      <c r="E60" s="55" t="s">
        <v>249</v>
      </c>
      <c r="G60" s="62"/>
    </row>
    <row r="61" spans="1:7" s="55" customFormat="1" x14ac:dyDescent="0.3">
      <c r="C61" s="55" t="s">
        <v>264</v>
      </c>
      <c r="D61" s="346" t="str">
        <f>'5. Ravinteet'!E32</f>
        <v>-</v>
      </c>
      <c r="E61" s="55" t="s">
        <v>265</v>
      </c>
      <c r="G61" s="62"/>
    </row>
    <row r="62" spans="1:7" s="55" customFormat="1" x14ac:dyDescent="0.3">
      <c r="C62" s="55" t="s">
        <v>266</v>
      </c>
      <c r="D62" s="346" t="str">
        <f>'5. Ravinteet'!E33</f>
        <v>-</v>
      </c>
      <c r="E62" s="55" t="s">
        <v>265</v>
      </c>
      <c r="G62" s="62"/>
    </row>
    <row r="63" spans="1:7" s="55" customFormat="1" x14ac:dyDescent="0.3">
      <c r="C63" s="55" t="s">
        <v>267</v>
      </c>
      <c r="D63" s="346" t="str">
        <f>'5. Ravinteet'!E34</f>
        <v>-</v>
      </c>
      <c r="E63" s="55" t="s">
        <v>265</v>
      </c>
      <c r="G63" s="62"/>
    </row>
    <row r="64" spans="1:7" s="55" customFormat="1" x14ac:dyDescent="0.3">
      <c r="C64" s="55" t="s">
        <v>268</v>
      </c>
      <c r="D64" s="346" t="str">
        <f>'5. Ravinteet'!E35</f>
        <v>-</v>
      </c>
      <c r="E64" s="55" t="s">
        <v>265</v>
      </c>
      <c r="G64" s="62"/>
    </row>
    <row r="65" spans="1:7" x14ac:dyDescent="0.3">
      <c r="A65" s="17" t="s">
        <v>270</v>
      </c>
      <c r="B65" s="17"/>
      <c r="C65" s="17"/>
      <c r="D65" s="17"/>
      <c r="E65" s="17"/>
      <c r="G65" s="62"/>
    </row>
    <row r="66" spans="1:7" s="62" customFormat="1" x14ac:dyDescent="0.3">
      <c r="A66" s="67"/>
      <c r="B66" s="67" t="s">
        <v>99</v>
      </c>
      <c r="C66" s="67"/>
      <c r="D66" s="342"/>
      <c r="E66" s="67"/>
    </row>
    <row r="67" spans="1:7" s="55" customFormat="1" x14ac:dyDescent="0.3">
      <c r="C67" s="55" t="str">
        <f>'7. Tuotot ja kulut'!B7</f>
        <v xml:space="preserve">	Korvaushyöty lämmön käytöstä omassa yrityksessä</v>
      </c>
      <c r="D67" s="58">
        <f>'7. Tuotot ja kulut'!G7</f>
        <v>51447.174768226672</v>
      </c>
      <c r="E67" s="55" t="s">
        <v>244</v>
      </c>
      <c r="G67" s="62"/>
    </row>
    <row r="68" spans="1:7" s="55" customFormat="1" x14ac:dyDescent="0.3">
      <c r="C68" s="55" t="str">
        <f>'7. Tuotot ja kulut'!B8</f>
        <v>Korvaushyöty sähkön käytöstä omassa yrityksessä</v>
      </c>
      <c r="D68" s="58">
        <f>'7. Tuotot ja kulut'!G8</f>
        <v>35127.195076024829</v>
      </c>
      <c r="E68" s="55" t="s">
        <v>244</v>
      </c>
      <c r="G68" s="62"/>
    </row>
    <row r="69" spans="1:7" s="55" customFormat="1" x14ac:dyDescent="0.3">
      <c r="C69" s="55" t="str">
        <f>'7. Tuotot ja kulut'!B9</f>
        <v>Korvaushyöty paineistamattoman liikennekaasun käytöstä omassa yrityksessä</v>
      </c>
      <c r="D69" s="58">
        <f>'7. Tuotot ja kulut'!G9</f>
        <v>0</v>
      </c>
      <c r="E69" s="55" t="s">
        <v>244</v>
      </c>
      <c r="G69" s="62"/>
    </row>
    <row r="70" spans="1:7" s="55" customFormat="1" x14ac:dyDescent="0.3">
      <c r="C70" s="55" t="str">
        <f>'7. Tuotot ja kulut'!B10</f>
        <v>Korvaushyöty liikennekaasun käytöstä omassa yrityksessä (omalta asemalta)</v>
      </c>
      <c r="D70" s="58">
        <f>'7. Tuotot ja kulut'!G10</f>
        <v>0</v>
      </c>
      <c r="E70" s="55" t="s">
        <v>244</v>
      </c>
      <c r="G70" s="62"/>
    </row>
    <row r="71" spans="1:7" s="55" customFormat="1" x14ac:dyDescent="0.3">
      <c r="C71" s="55" t="str">
        <f>'7. Tuotot ja kulut'!B11</f>
        <v>Lämpöenergian myynti</v>
      </c>
      <c r="D71" s="58">
        <f>'7. Tuotot ja kulut'!G11</f>
        <v>0</v>
      </c>
      <c r="E71" s="55" t="s">
        <v>244</v>
      </c>
      <c r="G71" s="62"/>
    </row>
    <row r="72" spans="1:7" s="55" customFormat="1" x14ac:dyDescent="0.3">
      <c r="C72" s="55" t="str">
        <f>'7. Tuotot ja kulut'!B12</f>
        <v xml:space="preserve">	Sähköenergian myynti</v>
      </c>
      <c r="D72" s="58">
        <f>'7. Tuotot ja kulut'!G12</f>
        <v>0</v>
      </c>
      <c r="E72" s="55" t="s">
        <v>244</v>
      </c>
      <c r="G72" s="62"/>
    </row>
    <row r="73" spans="1:7" s="55" customFormat="1" x14ac:dyDescent="0.3">
      <c r="C73" s="55" t="str">
        <f>'7. Tuotot ja kulut'!B13</f>
        <v>Liikennepolttoainetuotanto jälleenmyyjälle (paineistamaton kaasu)</v>
      </c>
      <c r="D73" s="58">
        <f>'7. Tuotot ja kulut'!G13</f>
        <v>0</v>
      </c>
      <c r="E73" s="55" t="s">
        <v>244</v>
      </c>
      <c r="G73" s="62"/>
    </row>
    <row r="74" spans="1:7" s="55" customFormat="1" x14ac:dyDescent="0.3">
      <c r="C74" s="55" t="str">
        <f>'7. Tuotot ja kulut'!B14</f>
        <v>Liikennepolttoainetuotanto &amp; myynti omalta tankkausasemalta asiakkaille</v>
      </c>
      <c r="D74" s="58">
        <f>'7. Tuotot ja kulut'!G14</f>
        <v>0</v>
      </c>
      <c r="E74" s="55" t="s">
        <v>244</v>
      </c>
      <c r="G74" s="62"/>
    </row>
    <row r="75" spans="1:7" s="55" customFormat="1" x14ac:dyDescent="0.3">
      <c r="C75" s="55" t="str">
        <f>'7. Tuotot ja kulut'!B15</f>
        <v>Siirto ja myynti kaasuna</v>
      </c>
      <c r="D75" s="58">
        <f>'7. Tuotot ja kulut'!G15</f>
        <v>0</v>
      </c>
      <c r="E75" s="55" t="s">
        <v>244</v>
      </c>
      <c r="G75" s="62"/>
    </row>
    <row r="76" spans="1:7" s="62" customFormat="1" x14ac:dyDescent="0.3">
      <c r="A76" s="67"/>
      <c r="B76" s="67" t="s">
        <v>305</v>
      </c>
      <c r="C76" s="67"/>
      <c r="D76" s="342"/>
      <c r="E76" s="67"/>
    </row>
    <row r="77" spans="1:7" s="55" customFormat="1" x14ac:dyDescent="0.3">
      <c r="C77" s="55" t="s">
        <v>306</v>
      </c>
      <c r="D77" s="58">
        <f>'7. Tuotot ja kulut'!G17</f>
        <v>0</v>
      </c>
      <c r="E77" s="55" t="s">
        <v>244</v>
      </c>
      <c r="G77" s="62"/>
    </row>
    <row r="78" spans="1:7" s="62" customFormat="1" x14ac:dyDescent="0.3">
      <c r="A78" s="67"/>
      <c r="B78" s="67" t="s">
        <v>307</v>
      </c>
      <c r="C78" s="67"/>
      <c r="D78" s="342"/>
      <c r="E78" s="67"/>
    </row>
    <row r="79" spans="1:7" s="55" customFormat="1" x14ac:dyDescent="0.3">
      <c r="C79" s="55" t="s">
        <v>308</v>
      </c>
      <c r="D79" s="58">
        <f>'7. Tuotot ja kulut'!G19</f>
        <v>6520.3267727901894</v>
      </c>
      <c r="E79" s="55" t="s">
        <v>244</v>
      </c>
      <c r="G79" s="62"/>
    </row>
    <row r="80" spans="1:7" s="62" customFormat="1" x14ac:dyDescent="0.3">
      <c r="A80" s="67"/>
      <c r="B80" s="67" t="s">
        <v>309</v>
      </c>
      <c r="C80" s="67"/>
      <c r="D80" s="342">
        <f>SUM(D67:D79)</f>
        <v>93094.696617041685</v>
      </c>
      <c r="E80" s="67" t="s">
        <v>244</v>
      </c>
    </row>
    <row r="81" spans="1:7" x14ac:dyDescent="0.3">
      <c r="A81" s="17" t="s">
        <v>271</v>
      </c>
      <c r="B81" s="17"/>
      <c r="C81" s="17"/>
      <c r="D81" s="17"/>
      <c r="E81" s="17"/>
      <c r="G81" s="55"/>
    </row>
    <row r="82" spans="1:7" s="62" customFormat="1" x14ac:dyDescent="0.3">
      <c r="A82" s="67"/>
      <c r="B82" s="67" t="s">
        <v>310</v>
      </c>
      <c r="C82" s="67"/>
      <c r="D82" s="342"/>
      <c r="E82" s="67"/>
      <c r="G82" s="55"/>
    </row>
    <row r="83" spans="1:7" s="55" customFormat="1" x14ac:dyDescent="0.3">
      <c r="C83" s="55" t="str">
        <f>'7. Tuotot ja kulut'!B27</f>
        <v>Kiinteän syötteeen (esim. nurmirehu) tuotantokustannus</v>
      </c>
      <c r="D83" s="58">
        <f>'7. Tuotot ja kulut'!G27</f>
        <v>20000</v>
      </c>
      <c r="E83" s="55" t="s">
        <v>244</v>
      </c>
    </row>
    <row r="84" spans="1:7" s="55" customFormat="1" x14ac:dyDescent="0.3">
      <c r="C84" s="55" t="str">
        <f>'7. Tuotot ja kulut'!B28</f>
        <v>Kiinteän syötteen käsittely, esim. lastaus murskaimeen</v>
      </c>
      <c r="D84" s="58">
        <f>'7. Tuotot ja kulut'!G28</f>
        <v>0</v>
      </c>
      <c r="E84" s="55" t="s">
        <v>244</v>
      </c>
    </row>
    <row r="85" spans="1:7" s="55" customFormat="1" x14ac:dyDescent="0.3">
      <c r="C85" s="55" t="str">
        <f>'7. Tuotot ja kulut'!B29</f>
        <v>Lietemäisen raaka-aineen jatkokäsittely</v>
      </c>
      <c r="D85" s="58">
        <f>'7. Tuotot ja kulut'!G29</f>
        <v>0</v>
      </c>
      <c r="E85" s="55" t="s">
        <v>244</v>
      </c>
    </row>
    <row r="86" spans="1:7" s="55" customFormat="1" x14ac:dyDescent="0.3">
      <c r="C86" s="55" t="str">
        <f>'7. Tuotot ja kulut'!B30</f>
        <v>Raaka-aineen kuljetus</v>
      </c>
      <c r="D86" s="58">
        <f>'7. Tuotot ja kulut'!G30</f>
        <v>0</v>
      </c>
      <c r="E86" s="55" t="s">
        <v>244</v>
      </c>
    </row>
    <row r="87" spans="1:7" s="55" customFormat="1" x14ac:dyDescent="0.3">
      <c r="C87" s="55" t="str">
        <f>'7. Tuotot ja kulut'!B31</f>
        <v>Käsittelyjäännöksen käsittely, rahti ja levitys</v>
      </c>
      <c r="D87" s="58">
        <f>'7. Tuotot ja kulut'!G31</f>
        <v>0</v>
      </c>
      <c r="E87" s="55" t="s">
        <v>244</v>
      </c>
    </row>
    <row r="88" spans="1:7" s="55" customFormat="1" x14ac:dyDescent="0.3">
      <c r="A88" s="337"/>
      <c r="B88" s="67" t="s">
        <v>312</v>
      </c>
      <c r="C88" s="67"/>
      <c r="D88" s="67"/>
      <c r="E88" s="337"/>
    </row>
    <row r="89" spans="1:7" s="55" customFormat="1" x14ac:dyDescent="0.3">
      <c r="C89" s="55" t="str">
        <f>'7. Tuotot ja kulut'!B33</f>
        <v>Ostosähkö</v>
      </c>
      <c r="D89" s="58">
        <f>'7. Tuotot ja kulut'!G33</f>
        <v>0</v>
      </c>
      <c r="E89" s="55" t="s">
        <v>244</v>
      </c>
    </row>
    <row r="90" spans="1:7" s="55" customFormat="1" x14ac:dyDescent="0.3">
      <c r="C90" s="55" t="str">
        <f>'7. Tuotot ja kulut'!B34</f>
        <v>Ostolämpö</v>
      </c>
      <c r="D90" s="58">
        <f>'7. Tuotot ja kulut'!G34</f>
        <v>0</v>
      </c>
      <c r="E90" s="55" t="s">
        <v>244</v>
      </c>
    </row>
    <row r="91" spans="1:7" s="55" customFormat="1" x14ac:dyDescent="0.3">
      <c r="C91" s="55" t="str">
        <f>'7. Tuotot ja kulut'!B35</f>
        <v>Syötteen laimennusveden kustannus</v>
      </c>
      <c r="D91" s="58">
        <f>'7. Tuotot ja kulut'!G35</f>
        <v>0</v>
      </c>
      <c r="E91" s="55" t="s">
        <v>244</v>
      </c>
    </row>
    <row r="92" spans="1:7" s="55" customFormat="1" x14ac:dyDescent="0.3">
      <c r="C92" s="55" t="str">
        <f>'7. Tuotot ja kulut'!B36</f>
        <v>Kemikaali- ja käyttövesikustannukset</v>
      </c>
      <c r="D92" s="58">
        <f>'7. Tuotot ja kulut'!G36</f>
        <v>0</v>
      </c>
      <c r="E92" s="55" t="s">
        <v>244</v>
      </c>
    </row>
    <row r="93" spans="1:7" s="55" customFormat="1" x14ac:dyDescent="0.3">
      <c r="A93" s="337"/>
      <c r="B93" s="67" t="s">
        <v>313</v>
      </c>
      <c r="C93" s="67"/>
      <c r="D93" s="67"/>
      <c r="E93" s="337"/>
    </row>
    <row r="94" spans="1:7" s="55" customFormat="1" x14ac:dyDescent="0.3">
      <c r="C94" s="55" t="str">
        <f>'7. Tuotot ja kulut'!B38</f>
        <v>CHP-yksikkö</v>
      </c>
      <c r="D94" s="205">
        <f>'7. Tuotot ja kulut'!G38</f>
        <v>4777.237657049619</v>
      </c>
      <c r="E94" s="55" t="s">
        <v>244</v>
      </c>
    </row>
    <row r="95" spans="1:7" s="55" customFormat="1" x14ac:dyDescent="0.3">
      <c r="C95" s="55" t="str">
        <f>'7. Tuotot ja kulut'!B39</f>
        <v>Liikennekaasun jalostus</v>
      </c>
      <c r="D95" s="205">
        <f>'7. Tuotot ja kulut'!G39</f>
        <v>0</v>
      </c>
      <c r="E95" s="55" t="s">
        <v>244</v>
      </c>
    </row>
    <row r="96" spans="1:7" s="55" customFormat="1" x14ac:dyDescent="0.3">
      <c r="C96" s="55" t="str">
        <f>'7. Tuotot ja kulut'!B40</f>
        <v xml:space="preserve">Tankkausasema </v>
      </c>
      <c r="D96" s="205">
        <f>'7. Tuotot ja kulut'!G40</f>
        <v>0</v>
      </c>
      <c r="E96" s="55" t="s">
        <v>244</v>
      </c>
    </row>
    <row r="97" spans="1:7" s="55" customFormat="1" x14ac:dyDescent="0.3">
      <c r="C97" s="55" t="str">
        <f>'7. Tuotot ja kulut'!B41</f>
        <v>Laitoksen muu tekniikka ja rakenteet</v>
      </c>
      <c r="D97" s="205">
        <f>'7. Tuotot ja kulut'!G41</f>
        <v>11546</v>
      </c>
      <c r="E97" s="55" t="s">
        <v>244</v>
      </c>
    </row>
    <row r="98" spans="1:7" s="55" customFormat="1" x14ac:dyDescent="0.3">
      <c r="C98" s="55" t="str">
        <f>'7. Tuotot ja kulut'!B42</f>
        <v>Hygienisointiyksikkö (+ muut hygienisointiin liittyvät)</v>
      </c>
      <c r="D98" s="205">
        <f>'7. Tuotot ja kulut'!G42</f>
        <v>0</v>
      </c>
      <c r="E98" s="55" t="s">
        <v>244</v>
      </c>
    </row>
    <row r="99" spans="1:7" s="55" customFormat="1" x14ac:dyDescent="0.3">
      <c r="C99" s="55" t="str">
        <f>'7. Tuotot ja kulut'!B43</f>
        <v>Muu konetyö</v>
      </c>
      <c r="D99" s="205">
        <f>'7. Tuotot ja kulut'!G43</f>
        <v>0</v>
      </c>
      <c r="E99" s="55" t="s">
        <v>244</v>
      </c>
    </row>
    <row r="100" spans="1:7" s="55" customFormat="1" x14ac:dyDescent="0.3">
      <c r="C100" s="55" t="str">
        <f>'7. Tuotot ja kulut'!B44</f>
        <v>Päivittäinen työ (tarkastus + pienet korjaukset)</v>
      </c>
      <c r="D100" s="205">
        <f>'7. Tuotot ja kulut'!G44</f>
        <v>4708.5</v>
      </c>
      <c r="E100" s="55" t="s">
        <v>244</v>
      </c>
    </row>
    <row r="101" spans="1:7" s="55" customFormat="1" x14ac:dyDescent="0.3">
      <c r="C101" s="55" t="str">
        <f>'7. Tuotot ja kulut'!B45</f>
        <v>Hallinnollinen työ</v>
      </c>
      <c r="D101" s="205">
        <f>'7. Tuotot ja kulut'!G45</f>
        <v>0</v>
      </c>
      <c r="E101" s="55" t="s">
        <v>244</v>
      </c>
    </row>
    <row r="102" spans="1:7" s="55" customFormat="1" x14ac:dyDescent="0.3">
      <c r="A102" s="337"/>
      <c r="B102" s="67" t="s">
        <v>272</v>
      </c>
      <c r="C102" s="67"/>
      <c r="D102" s="67"/>
      <c r="E102" s="337"/>
    </row>
    <row r="103" spans="1:7" s="55" customFormat="1" x14ac:dyDescent="0.3">
      <c r="C103" s="55" t="s">
        <v>273</v>
      </c>
      <c r="D103" s="58">
        <f>'7. Tuotot ja kulut'!G47</f>
        <v>4130</v>
      </c>
      <c r="E103" s="55" t="s">
        <v>244</v>
      </c>
    </row>
    <row r="104" spans="1:7" s="55" customFormat="1" x14ac:dyDescent="0.3">
      <c r="C104" s="55" t="s">
        <v>274</v>
      </c>
      <c r="D104" s="55">
        <f>'7. Tuotot ja kulut'!G48</f>
        <v>0</v>
      </c>
      <c r="E104" s="55" t="s">
        <v>244</v>
      </c>
    </row>
    <row r="105" spans="1:7" s="55" customFormat="1" x14ac:dyDescent="0.3">
      <c r="A105" s="337"/>
      <c r="B105" s="67" t="s">
        <v>353</v>
      </c>
      <c r="C105" s="67"/>
      <c r="D105" s="342">
        <f>SUM(D83:D104)</f>
        <v>45161.73765704962</v>
      </c>
      <c r="E105" s="337" t="s">
        <v>244</v>
      </c>
    </row>
    <row r="106" spans="1:7" x14ac:dyDescent="0.3">
      <c r="A106" s="17" t="s">
        <v>275</v>
      </c>
      <c r="B106" s="17"/>
      <c r="C106" s="17"/>
      <c r="D106" s="17"/>
      <c r="E106" s="17"/>
      <c r="G106" s="55"/>
    </row>
    <row r="107" spans="1:7" s="55" customFormat="1" x14ac:dyDescent="0.3">
      <c r="C107" s="55" t="s">
        <v>276</v>
      </c>
      <c r="D107" s="58">
        <f>'6. Investoinnit'!D54</f>
        <v>826000</v>
      </c>
      <c r="E107" s="80" t="s">
        <v>244</v>
      </c>
    </row>
    <row r="108" spans="1:7" s="55" customFormat="1" x14ac:dyDescent="0.3">
      <c r="A108" s="337"/>
      <c r="B108" s="67" t="s">
        <v>314</v>
      </c>
      <c r="C108" s="67"/>
      <c r="D108" s="67"/>
      <c r="E108" s="67"/>
    </row>
    <row r="109" spans="1:7" s="55" customFormat="1" x14ac:dyDescent="0.3">
      <c r="C109" s="55" t="s">
        <v>277</v>
      </c>
      <c r="D109" s="58">
        <f>'8. Kannattavuus'!B6*100</f>
        <v>50</v>
      </c>
      <c r="E109" s="55" t="s">
        <v>249</v>
      </c>
    </row>
    <row r="110" spans="1:7" s="55" customFormat="1" x14ac:dyDescent="0.3">
      <c r="C110" s="55" t="s">
        <v>315</v>
      </c>
      <c r="D110" s="58">
        <f>'8. Kannattavuus'!B7</f>
        <v>413000</v>
      </c>
      <c r="E110" s="55" t="s">
        <v>244</v>
      </c>
    </row>
    <row r="111" spans="1:7" s="55" customFormat="1" x14ac:dyDescent="0.3">
      <c r="C111" s="55" t="s">
        <v>316</v>
      </c>
      <c r="D111" s="58">
        <f>'8. Kannattavuus'!B8</f>
        <v>413000</v>
      </c>
      <c r="E111" s="55" t="s">
        <v>244</v>
      </c>
    </row>
    <row r="112" spans="1:7" s="55" customFormat="1" x14ac:dyDescent="0.3">
      <c r="A112" s="17" t="s">
        <v>278</v>
      </c>
      <c r="B112" s="17"/>
      <c r="C112" s="17"/>
      <c r="D112" s="17"/>
      <c r="E112" s="17"/>
    </row>
    <row r="113" spans="1:5" s="55" customFormat="1" x14ac:dyDescent="0.3">
      <c r="A113" s="337"/>
      <c r="B113" s="67" t="s">
        <v>318</v>
      </c>
      <c r="C113" s="67"/>
      <c r="D113" s="67"/>
      <c r="E113" s="67"/>
    </row>
    <row r="114" spans="1:5" s="55" customFormat="1" x14ac:dyDescent="0.3">
      <c r="C114" s="55" t="s">
        <v>279</v>
      </c>
      <c r="D114" s="55">
        <f>'8. Kannattavuus'!B9*100</f>
        <v>5</v>
      </c>
      <c r="E114" s="55" t="s">
        <v>249</v>
      </c>
    </row>
    <row r="115" spans="1:5" s="55" customFormat="1" x14ac:dyDescent="0.3">
      <c r="C115" s="55" t="s">
        <v>280</v>
      </c>
      <c r="D115" s="58">
        <f>'8. Kannattavuus'!B14</f>
        <v>39696.997776401862</v>
      </c>
      <c r="E115" s="55" t="s">
        <v>244</v>
      </c>
    </row>
    <row r="116" spans="1:5" s="55" customFormat="1" x14ac:dyDescent="0.3">
      <c r="C116" s="55" t="s">
        <v>281</v>
      </c>
      <c r="D116" s="58">
        <f>'8. Kannattavuus'!B15</f>
        <v>47932.958959992066</v>
      </c>
      <c r="E116" s="55" t="s">
        <v>244</v>
      </c>
    </row>
    <row r="117" spans="1:5" s="55" customFormat="1" x14ac:dyDescent="0.3">
      <c r="C117" s="62" t="s">
        <v>282</v>
      </c>
      <c r="D117" s="343">
        <f>'8. Kannattavuus'!B16</f>
        <v>8235.9611835902033</v>
      </c>
      <c r="E117" s="62" t="s">
        <v>244</v>
      </c>
    </row>
    <row r="118" spans="1:5" s="55" customFormat="1" x14ac:dyDescent="0.3">
      <c r="A118" s="337"/>
      <c r="B118" s="67" t="s">
        <v>317</v>
      </c>
      <c r="C118" s="67"/>
      <c r="D118" s="67"/>
      <c r="E118" s="67"/>
    </row>
    <row r="119" spans="1:5" s="55" customFormat="1" x14ac:dyDescent="0.3">
      <c r="C119" s="62" t="s">
        <v>283</v>
      </c>
      <c r="D119" s="347">
        <f>'8. Kannattavuus'!B18</f>
        <v>8.6162008138224131</v>
      </c>
      <c r="E119" s="62" t="s">
        <v>284</v>
      </c>
    </row>
    <row r="120" spans="1:5" s="55" customFormat="1" x14ac:dyDescent="0.3"/>
    <row r="121" spans="1:5" s="55" customFormat="1" x14ac:dyDescent="0.3"/>
    <row r="122" spans="1:5" s="55" customFormat="1" x14ac:dyDescent="0.3"/>
    <row r="123" spans="1:5" s="55" customFormat="1" x14ac:dyDescent="0.3"/>
    <row r="124" spans="1:5" s="55" customFormat="1" x14ac:dyDescent="0.3"/>
    <row r="125" spans="1:5" s="55" customFormat="1" x14ac:dyDescent="0.3"/>
    <row r="126" spans="1:5" s="55" customFormat="1" x14ac:dyDescent="0.3"/>
    <row r="127" spans="1:5" s="55" customFormat="1" x14ac:dyDescent="0.3"/>
    <row r="128" spans="1:5" s="55" customFormat="1" x14ac:dyDescent="0.3"/>
    <row r="129" s="55" customFormat="1" x14ac:dyDescent="0.3"/>
    <row r="130" s="55" customFormat="1" x14ac:dyDescent="0.3"/>
    <row r="131" s="55" customFormat="1" x14ac:dyDescent="0.3"/>
    <row r="132" s="55" customFormat="1" x14ac:dyDescent="0.3"/>
    <row r="133" s="55" customFormat="1" x14ac:dyDescent="0.3"/>
  </sheetData>
  <sheetProtection algorithmName="SHA-512" hashValue="t42QgAJnwZycumo1/5HsVpcf6Sgo+49oXB4jSDjPDHU9f2fjCRXIKDxuJuiFZXKaoGNM3lVug0OCS2CV6isYmw==" saltValue="T6TV8JQeM9pvLGd2bSPs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31551-F1AC-4390-83E0-0204759F4F84}">
  <dimension ref="A1:U76"/>
  <sheetViews>
    <sheetView zoomScaleNormal="100" workbookViewId="0">
      <pane ySplit="3" topLeftCell="A4" activePane="bottomLeft" state="frozen"/>
      <selection pane="bottomLeft" activeCell="C39" sqref="C39"/>
    </sheetView>
  </sheetViews>
  <sheetFormatPr defaultColWidth="12.21875" defaultRowHeight="14.4" x14ac:dyDescent="0.3"/>
  <cols>
    <col min="1" max="1" width="3.21875" style="16" customWidth="1"/>
    <col min="2" max="2" width="38.109375" style="16" customWidth="1"/>
    <col min="3" max="6" width="9" style="16" customWidth="1"/>
    <col min="7" max="7" width="11.109375" style="16" customWidth="1"/>
    <col min="8" max="14" width="9" style="16" customWidth="1"/>
    <col min="15" max="15" width="24" style="16" customWidth="1"/>
    <col min="16" max="16" width="12.21875" style="16"/>
    <col min="17" max="17" width="12.21875" style="33"/>
    <col min="18" max="16384" width="12.21875" style="16"/>
  </cols>
  <sheetData>
    <row r="1" spans="1:21" ht="24" thickBot="1" x14ac:dyDescent="0.5">
      <c r="A1" s="12" t="s">
        <v>285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  <c r="P1" s="14"/>
      <c r="Q1" s="15"/>
      <c r="R1" s="14"/>
      <c r="S1" s="14"/>
      <c r="T1" s="14"/>
      <c r="U1" s="14"/>
    </row>
    <row r="2" spans="1:21" ht="16.2" thickTop="1" x14ac:dyDescent="0.3">
      <c r="A2" s="17"/>
      <c r="B2" s="17"/>
      <c r="C2" s="17" t="s">
        <v>3</v>
      </c>
      <c r="D2" s="17" t="s">
        <v>484</v>
      </c>
      <c r="E2" s="18" t="s">
        <v>46</v>
      </c>
      <c r="F2" s="17" t="s">
        <v>44</v>
      </c>
      <c r="G2" s="17" t="s">
        <v>4</v>
      </c>
      <c r="H2" s="17" t="s">
        <v>5</v>
      </c>
      <c r="I2" s="17" t="s">
        <v>40</v>
      </c>
      <c r="J2" s="17" t="s">
        <v>41</v>
      </c>
      <c r="K2" s="17" t="s">
        <v>6</v>
      </c>
      <c r="L2" s="19" t="s">
        <v>479</v>
      </c>
      <c r="M2" s="18" t="s">
        <v>39</v>
      </c>
      <c r="N2" s="18" t="s">
        <v>8</v>
      </c>
      <c r="O2" s="14"/>
      <c r="P2" s="14"/>
      <c r="Q2" s="20" t="s">
        <v>3</v>
      </c>
      <c r="R2" s="14"/>
      <c r="S2" s="14"/>
      <c r="T2" s="14"/>
      <c r="U2" s="14"/>
    </row>
    <row r="3" spans="1:21" ht="16.8" thickBot="1" x14ac:dyDescent="0.35">
      <c r="A3" s="17"/>
      <c r="B3" s="17"/>
      <c r="C3" s="17" t="s">
        <v>42</v>
      </c>
      <c r="D3" s="17" t="s">
        <v>9</v>
      </c>
      <c r="E3" s="18" t="s">
        <v>45</v>
      </c>
      <c r="F3" s="17" t="s">
        <v>9</v>
      </c>
      <c r="G3" s="19" t="s">
        <v>480</v>
      </c>
      <c r="H3" s="17" t="s">
        <v>10</v>
      </c>
      <c r="I3" s="17" t="s">
        <v>10</v>
      </c>
      <c r="J3" s="17" t="s">
        <v>10</v>
      </c>
      <c r="K3" s="17" t="s">
        <v>10</v>
      </c>
      <c r="L3" s="17" t="s">
        <v>9</v>
      </c>
      <c r="M3" s="17"/>
      <c r="N3" s="17"/>
      <c r="O3" s="14"/>
      <c r="P3" s="14"/>
      <c r="Q3" s="21" t="s">
        <v>43</v>
      </c>
      <c r="R3" s="14"/>
      <c r="S3" s="14"/>
      <c r="T3" s="14"/>
      <c r="U3" s="14"/>
    </row>
    <row r="4" spans="1:21" x14ac:dyDescent="0.3">
      <c r="A4" s="22" t="s">
        <v>498</v>
      </c>
      <c r="B4" s="23"/>
      <c r="C4" s="23"/>
      <c r="D4" s="23"/>
      <c r="E4" s="24"/>
      <c r="F4" s="23"/>
      <c r="G4" s="25"/>
      <c r="H4" s="23"/>
      <c r="I4" s="23"/>
      <c r="J4" s="23"/>
      <c r="K4" s="23"/>
      <c r="L4" s="23"/>
      <c r="M4" s="23"/>
      <c r="N4" s="23"/>
      <c r="O4" s="14"/>
      <c r="P4" s="14"/>
      <c r="Q4" s="26"/>
      <c r="R4" s="14"/>
      <c r="S4" s="14"/>
      <c r="T4" s="14"/>
      <c r="U4" s="14"/>
    </row>
    <row r="5" spans="1:21" x14ac:dyDescent="0.3">
      <c r="A5" s="14"/>
      <c r="B5" s="14" t="s">
        <v>23</v>
      </c>
      <c r="C5" s="27">
        <v>6000</v>
      </c>
      <c r="D5" s="28">
        <v>9</v>
      </c>
      <c r="E5" s="29">
        <v>80</v>
      </c>
      <c r="F5" s="28">
        <f t="shared" ref="F5:F14" si="0">D5*E5/100</f>
        <v>7.2</v>
      </c>
      <c r="G5" s="29">
        <v>200</v>
      </c>
      <c r="H5" s="28">
        <v>5</v>
      </c>
      <c r="I5" s="28">
        <v>2.9</v>
      </c>
      <c r="J5" s="28">
        <v>0.9</v>
      </c>
      <c r="K5" s="28">
        <v>4.5</v>
      </c>
      <c r="L5" s="29">
        <v>65</v>
      </c>
      <c r="M5" s="28">
        <v>9.5</v>
      </c>
      <c r="N5" s="30" t="s">
        <v>12</v>
      </c>
      <c r="O5" s="31" t="s">
        <v>368</v>
      </c>
      <c r="P5" s="14"/>
      <c r="Q5" s="32">
        <f t="shared" ref="Q5:Q42" si="1">C5*D5/100*E5/100</f>
        <v>432</v>
      </c>
      <c r="R5" s="14"/>
      <c r="S5" s="14"/>
      <c r="T5" s="14"/>
      <c r="U5" s="14"/>
    </row>
    <row r="6" spans="1:21" x14ac:dyDescent="0.3">
      <c r="A6" s="14"/>
      <c r="B6" s="14" t="s">
        <v>25</v>
      </c>
      <c r="C6" s="27"/>
      <c r="D6" s="28">
        <v>24</v>
      </c>
      <c r="E6" s="29">
        <v>85</v>
      </c>
      <c r="F6" s="28">
        <f t="shared" si="0"/>
        <v>20.399999999999999</v>
      </c>
      <c r="G6" s="29">
        <v>190</v>
      </c>
      <c r="H6" s="28">
        <v>6.4</v>
      </c>
      <c r="I6" s="28">
        <v>2.1</v>
      </c>
      <c r="J6" s="28">
        <v>1.3</v>
      </c>
      <c r="K6" s="28">
        <v>4.0999999999999996</v>
      </c>
      <c r="L6" s="29">
        <v>65</v>
      </c>
      <c r="M6" s="28">
        <v>4</v>
      </c>
      <c r="N6" s="30" t="s">
        <v>13</v>
      </c>
      <c r="O6" s="14"/>
      <c r="P6" s="14"/>
      <c r="Q6" s="32">
        <f t="shared" ref="Q6:Q16" si="2">C6*D6/100*E6/100</f>
        <v>0</v>
      </c>
      <c r="R6" s="14"/>
      <c r="S6" s="14"/>
      <c r="T6" s="14"/>
      <c r="U6" s="14"/>
    </row>
    <row r="7" spans="1:21" x14ac:dyDescent="0.3">
      <c r="A7" s="14"/>
      <c r="B7" s="14" t="s">
        <v>34</v>
      </c>
      <c r="C7" s="27"/>
      <c r="D7" s="28">
        <v>30</v>
      </c>
      <c r="E7" s="29">
        <v>85</v>
      </c>
      <c r="F7" s="28">
        <f t="shared" si="0"/>
        <v>25.5</v>
      </c>
      <c r="G7" s="29">
        <v>200</v>
      </c>
      <c r="H7" s="28">
        <v>5.4</v>
      </c>
      <c r="I7" s="28">
        <v>1.9</v>
      </c>
      <c r="J7" s="28">
        <v>1</v>
      </c>
      <c r="K7" s="28">
        <v>5</v>
      </c>
      <c r="L7" s="29">
        <v>65</v>
      </c>
      <c r="M7" s="28">
        <v>4</v>
      </c>
      <c r="N7" s="30" t="s">
        <v>13</v>
      </c>
      <c r="O7" s="14"/>
      <c r="P7" s="14"/>
      <c r="Q7" s="32">
        <f t="shared" si="2"/>
        <v>0</v>
      </c>
      <c r="R7" s="14"/>
      <c r="S7" s="14"/>
      <c r="T7" s="14"/>
      <c r="U7" s="14"/>
    </row>
    <row r="8" spans="1:21" x14ac:dyDescent="0.3">
      <c r="A8" s="14"/>
      <c r="B8" s="14" t="s">
        <v>26</v>
      </c>
      <c r="C8" s="27"/>
      <c r="D8" s="28">
        <v>8.1999999999999993</v>
      </c>
      <c r="E8" s="29">
        <v>82</v>
      </c>
      <c r="F8" s="28">
        <f t="shared" si="0"/>
        <v>6.7240000000000002</v>
      </c>
      <c r="G8" s="29">
        <v>320</v>
      </c>
      <c r="H8" s="28">
        <v>4.5999999999999996</v>
      </c>
      <c r="I8" s="28">
        <v>2.9</v>
      </c>
      <c r="J8" s="28">
        <v>1</v>
      </c>
      <c r="K8" s="28">
        <v>1.7</v>
      </c>
      <c r="L8" s="29">
        <v>65</v>
      </c>
      <c r="M8" s="28">
        <v>9.5</v>
      </c>
      <c r="N8" s="30" t="s">
        <v>12</v>
      </c>
      <c r="O8" s="14"/>
      <c r="P8" s="14"/>
      <c r="Q8" s="32">
        <f t="shared" si="2"/>
        <v>0</v>
      </c>
      <c r="R8" s="14"/>
      <c r="S8" s="14"/>
      <c r="T8" s="14"/>
      <c r="U8" s="14"/>
    </row>
    <row r="9" spans="1:21" x14ac:dyDescent="0.3">
      <c r="A9" s="14"/>
      <c r="B9" s="14" t="s">
        <v>0</v>
      </c>
      <c r="C9" s="27"/>
      <c r="D9" s="28">
        <v>27</v>
      </c>
      <c r="E9" s="29">
        <v>82</v>
      </c>
      <c r="F9" s="28">
        <f t="shared" si="0"/>
        <v>22.14</v>
      </c>
      <c r="G9" s="29">
        <v>305</v>
      </c>
      <c r="H9" s="28">
        <v>4.5999999999999996</v>
      </c>
      <c r="I9" s="28">
        <v>1.5</v>
      </c>
      <c r="J9" s="28">
        <v>1.8</v>
      </c>
      <c r="K9" s="28">
        <v>0.9</v>
      </c>
      <c r="L9" s="29">
        <v>65</v>
      </c>
      <c r="M9" s="28">
        <v>4</v>
      </c>
      <c r="N9" s="30" t="s">
        <v>13</v>
      </c>
      <c r="O9" s="14"/>
      <c r="P9" s="14"/>
      <c r="Q9" s="32">
        <f t="shared" si="2"/>
        <v>0</v>
      </c>
      <c r="R9" s="14"/>
      <c r="S9" s="14"/>
      <c r="T9" s="14"/>
      <c r="U9" s="14"/>
    </row>
    <row r="10" spans="1:21" x14ac:dyDescent="0.3">
      <c r="A10" s="14"/>
      <c r="B10" s="14" t="s">
        <v>28</v>
      </c>
      <c r="C10" s="27"/>
      <c r="D10" s="28">
        <v>21</v>
      </c>
      <c r="E10" s="29">
        <v>85</v>
      </c>
      <c r="F10" s="28">
        <f t="shared" si="0"/>
        <v>17.850000000000001</v>
      </c>
      <c r="G10" s="29">
        <v>230</v>
      </c>
      <c r="H10" s="28">
        <v>8.1999999999999993</v>
      </c>
      <c r="I10" s="28">
        <v>3.6</v>
      </c>
      <c r="J10" s="28">
        <v>2.9</v>
      </c>
      <c r="K10" s="28">
        <v>4</v>
      </c>
      <c r="L10" s="29">
        <v>65</v>
      </c>
      <c r="M10" s="28">
        <v>4</v>
      </c>
      <c r="N10" s="30" t="s">
        <v>13</v>
      </c>
      <c r="O10" s="14"/>
      <c r="P10" s="14"/>
      <c r="Q10" s="32">
        <f t="shared" si="2"/>
        <v>0</v>
      </c>
      <c r="R10" s="14"/>
      <c r="S10" s="14"/>
      <c r="T10" s="14"/>
      <c r="U10" s="14"/>
    </row>
    <row r="11" spans="1:21" x14ac:dyDescent="0.3">
      <c r="A11" s="14"/>
      <c r="B11" s="14" t="s">
        <v>501</v>
      </c>
      <c r="C11" s="27"/>
      <c r="D11" s="28">
        <v>45</v>
      </c>
      <c r="E11" s="29">
        <v>72</v>
      </c>
      <c r="F11" s="28">
        <f t="shared" si="0"/>
        <v>32.4</v>
      </c>
      <c r="G11" s="29">
        <v>225</v>
      </c>
      <c r="H11" s="28">
        <v>16.7</v>
      </c>
      <c r="I11" s="28">
        <v>6</v>
      </c>
      <c r="J11" s="28">
        <v>7.7</v>
      </c>
      <c r="K11" s="28">
        <v>9.5</v>
      </c>
      <c r="L11" s="29">
        <v>65</v>
      </c>
      <c r="M11" s="28">
        <v>4</v>
      </c>
      <c r="N11" s="30" t="s">
        <v>13</v>
      </c>
      <c r="O11" s="14"/>
      <c r="P11" s="14"/>
      <c r="Q11" s="32">
        <f t="shared" si="2"/>
        <v>0</v>
      </c>
      <c r="R11" s="14"/>
      <c r="S11" s="14"/>
      <c r="T11" s="14"/>
      <c r="U11" s="14"/>
    </row>
    <row r="12" spans="1:21" x14ac:dyDescent="0.3">
      <c r="A12" s="14"/>
      <c r="B12" s="14" t="s">
        <v>24</v>
      </c>
      <c r="C12" s="27"/>
      <c r="D12" s="28">
        <v>68</v>
      </c>
      <c r="E12" s="29">
        <v>85</v>
      </c>
      <c r="F12" s="28">
        <f t="shared" si="0"/>
        <v>57.8</v>
      </c>
      <c r="G12" s="29">
        <v>155</v>
      </c>
      <c r="H12" s="28">
        <v>27.3</v>
      </c>
      <c r="I12" s="28">
        <v>6.7</v>
      </c>
      <c r="J12" s="28">
        <v>12</v>
      </c>
      <c r="K12" s="28">
        <v>20</v>
      </c>
      <c r="L12" s="29">
        <v>65</v>
      </c>
      <c r="M12" s="28">
        <v>4</v>
      </c>
      <c r="N12" s="30" t="s">
        <v>13</v>
      </c>
      <c r="O12" s="14"/>
      <c r="P12" s="14"/>
      <c r="Q12" s="32">
        <f t="shared" si="2"/>
        <v>0</v>
      </c>
      <c r="R12" s="14"/>
      <c r="S12" s="14"/>
      <c r="T12" s="14"/>
      <c r="U12" s="14"/>
    </row>
    <row r="13" spans="1:21" x14ac:dyDescent="0.3">
      <c r="A13" s="14"/>
      <c r="B13" s="14" t="s">
        <v>27</v>
      </c>
      <c r="C13" s="27"/>
      <c r="D13" s="28">
        <v>35</v>
      </c>
      <c r="E13" s="29">
        <v>75</v>
      </c>
      <c r="F13" s="28">
        <f t="shared" si="0"/>
        <v>26.25</v>
      </c>
      <c r="G13" s="29">
        <v>260</v>
      </c>
      <c r="H13" s="28">
        <v>18.600000000000001</v>
      </c>
      <c r="I13" s="28">
        <v>9.5</v>
      </c>
      <c r="J13" s="28">
        <v>6.1</v>
      </c>
      <c r="K13" s="28">
        <v>9</v>
      </c>
      <c r="L13" s="29">
        <v>65</v>
      </c>
      <c r="M13" s="28">
        <v>4</v>
      </c>
      <c r="N13" s="30" t="s">
        <v>13</v>
      </c>
      <c r="O13" s="14"/>
      <c r="P13" s="14"/>
      <c r="Q13" s="32">
        <f t="shared" si="2"/>
        <v>0</v>
      </c>
      <c r="R13" s="14"/>
      <c r="S13" s="14"/>
      <c r="T13" s="14"/>
      <c r="U13" s="14"/>
    </row>
    <row r="14" spans="1:21" x14ac:dyDescent="0.3">
      <c r="A14" s="14"/>
      <c r="B14" s="14" t="s">
        <v>502</v>
      </c>
      <c r="C14" s="27"/>
      <c r="D14" s="28">
        <v>35</v>
      </c>
      <c r="E14" s="29">
        <v>80</v>
      </c>
      <c r="F14" s="28">
        <f t="shared" si="0"/>
        <v>28</v>
      </c>
      <c r="G14" s="29">
        <v>100</v>
      </c>
      <c r="H14" s="28">
        <v>9.1</v>
      </c>
      <c r="I14" s="28">
        <v>2</v>
      </c>
      <c r="J14" s="28">
        <v>2.1</v>
      </c>
      <c r="K14" s="28">
        <v>11.6</v>
      </c>
      <c r="L14" s="29">
        <v>65</v>
      </c>
      <c r="M14" s="28">
        <v>4</v>
      </c>
      <c r="N14" s="30" t="s">
        <v>13</v>
      </c>
      <c r="O14" s="14"/>
      <c r="P14" s="14"/>
      <c r="Q14" s="32">
        <f t="shared" si="2"/>
        <v>0</v>
      </c>
      <c r="R14" s="14"/>
      <c r="S14" s="14"/>
      <c r="T14" s="14"/>
      <c r="U14" s="14"/>
    </row>
    <row r="15" spans="1:21" x14ac:dyDescent="0.3">
      <c r="A15" s="14"/>
      <c r="B15" s="14" t="s">
        <v>503</v>
      </c>
      <c r="C15" s="27"/>
      <c r="D15" s="28">
        <v>33</v>
      </c>
      <c r="E15" s="29">
        <v>78</v>
      </c>
      <c r="F15" s="28">
        <f t="shared" ref="F15" si="3">D15*E15/100</f>
        <v>25.74</v>
      </c>
      <c r="G15" s="29">
        <v>200</v>
      </c>
      <c r="H15" s="28">
        <v>5</v>
      </c>
      <c r="I15" s="28">
        <v>1</v>
      </c>
      <c r="J15" s="28">
        <v>1</v>
      </c>
      <c r="K15" s="28">
        <v>5</v>
      </c>
      <c r="L15" s="29">
        <v>65</v>
      </c>
      <c r="M15" s="28">
        <v>4</v>
      </c>
      <c r="N15" s="30" t="s">
        <v>13</v>
      </c>
      <c r="O15" s="14"/>
      <c r="P15" s="14"/>
      <c r="Q15" s="32">
        <f t="shared" si="2"/>
        <v>0</v>
      </c>
      <c r="R15" s="14"/>
      <c r="S15" s="14"/>
      <c r="T15" s="14"/>
      <c r="U15" s="14"/>
    </row>
    <row r="16" spans="1:21" x14ac:dyDescent="0.3">
      <c r="A16" s="14"/>
      <c r="B16" s="14" t="s">
        <v>504</v>
      </c>
      <c r="C16" s="27"/>
      <c r="D16" s="28">
        <v>39</v>
      </c>
      <c r="E16" s="29">
        <v>78</v>
      </c>
      <c r="F16" s="28">
        <f>D16*E16/100</f>
        <v>30.42</v>
      </c>
      <c r="G16" s="29">
        <v>200</v>
      </c>
      <c r="H16" s="28">
        <v>11.3</v>
      </c>
      <c r="I16" s="28">
        <v>3</v>
      </c>
      <c r="J16" s="28">
        <v>16.399999999999999</v>
      </c>
      <c r="K16" s="28">
        <v>2</v>
      </c>
      <c r="L16" s="29">
        <v>65</v>
      </c>
      <c r="M16" s="28">
        <v>4</v>
      </c>
      <c r="N16" s="30" t="s">
        <v>13</v>
      </c>
      <c r="O16" s="14"/>
      <c r="P16" s="14"/>
      <c r="Q16" s="32">
        <f t="shared" si="2"/>
        <v>0</v>
      </c>
      <c r="R16" s="14"/>
      <c r="S16" s="14"/>
      <c r="T16" s="14"/>
      <c r="U16" s="14"/>
    </row>
    <row r="17" spans="1:21" x14ac:dyDescent="0.3">
      <c r="A17" s="22" t="s">
        <v>500</v>
      </c>
      <c r="B17" s="23"/>
      <c r="C17" s="23"/>
      <c r="D17" s="23"/>
      <c r="E17" s="24"/>
      <c r="F17" s="23"/>
      <c r="G17" s="25"/>
      <c r="H17" s="23"/>
      <c r="I17" s="23"/>
      <c r="J17" s="23"/>
      <c r="K17" s="23"/>
      <c r="L17" s="23"/>
      <c r="M17" s="23"/>
      <c r="N17" s="23"/>
      <c r="O17" s="14"/>
      <c r="P17" s="14"/>
      <c r="Q17" s="26"/>
      <c r="R17" s="14"/>
      <c r="S17" s="14"/>
      <c r="T17" s="14"/>
      <c r="U17" s="14"/>
    </row>
    <row r="18" spans="1:21" x14ac:dyDescent="0.3">
      <c r="A18" s="14"/>
      <c r="B18" s="14" t="s">
        <v>36</v>
      </c>
      <c r="C18" s="27"/>
      <c r="D18" s="28">
        <v>27</v>
      </c>
      <c r="E18" s="29">
        <v>90</v>
      </c>
      <c r="F18" s="28">
        <f t="shared" ref="F18:F26" si="4">D18*E18/100</f>
        <v>24.3</v>
      </c>
      <c r="G18" s="29">
        <v>450</v>
      </c>
      <c r="H18" s="28">
        <v>5.4</v>
      </c>
      <c r="I18" s="28">
        <v>2.7</v>
      </c>
      <c r="J18" s="28">
        <v>1.1000000000000001</v>
      </c>
      <c r="K18" s="28">
        <v>2.7</v>
      </c>
      <c r="L18" s="29">
        <v>65</v>
      </c>
      <c r="M18" s="28">
        <v>4</v>
      </c>
      <c r="N18" s="30" t="s">
        <v>13</v>
      </c>
      <c r="O18" s="14"/>
      <c r="P18" s="14"/>
      <c r="Q18" s="32"/>
      <c r="R18" s="14"/>
      <c r="S18" s="14"/>
      <c r="T18" s="14"/>
      <c r="U18" s="14"/>
    </row>
    <row r="19" spans="1:21" x14ac:dyDescent="0.3">
      <c r="A19" s="14"/>
      <c r="B19" s="14" t="s">
        <v>22</v>
      </c>
      <c r="C19" s="27"/>
      <c r="D19" s="28">
        <v>28</v>
      </c>
      <c r="E19" s="29">
        <v>85</v>
      </c>
      <c r="F19" s="28">
        <f t="shared" si="4"/>
        <v>23.8</v>
      </c>
      <c r="G19" s="29">
        <v>520</v>
      </c>
      <c r="H19" s="28">
        <v>30.8</v>
      </c>
      <c r="I19" s="28">
        <v>15.4</v>
      </c>
      <c r="J19" s="28">
        <v>9.5</v>
      </c>
      <c r="K19" s="28">
        <v>2.8</v>
      </c>
      <c r="L19" s="29">
        <v>65</v>
      </c>
      <c r="M19" s="28">
        <v>4</v>
      </c>
      <c r="N19" s="30" t="s">
        <v>13</v>
      </c>
      <c r="O19" s="14"/>
      <c r="P19" s="14"/>
      <c r="Q19" s="32">
        <f>C19*D19/100*E19/100</f>
        <v>0</v>
      </c>
      <c r="R19" s="14"/>
      <c r="S19" s="14"/>
      <c r="T19" s="14"/>
      <c r="U19" s="14"/>
    </row>
    <row r="20" spans="1:21" x14ac:dyDescent="0.3">
      <c r="A20" s="14"/>
      <c r="B20" s="14" t="s">
        <v>505</v>
      </c>
      <c r="C20" s="27"/>
      <c r="D20" s="28">
        <v>17</v>
      </c>
      <c r="E20" s="29">
        <v>85</v>
      </c>
      <c r="F20" s="28">
        <f t="shared" si="4"/>
        <v>14.45</v>
      </c>
      <c r="G20" s="29">
        <v>520</v>
      </c>
      <c r="H20" s="28">
        <v>27</v>
      </c>
      <c r="I20" s="28">
        <v>13.5</v>
      </c>
      <c r="J20" s="28">
        <v>9.1999999999999993</v>
      </c>
      <c r="K20" s="28">
        <v>2.7</v>
      </c>
      <c r="L20" s="29">
        <v>65</v>
      </c>
      <c r="M20" s="28">
        <v>4</v>
      </c>
      <c r="N20" s="30" t="s">
        <v>13</v>
      </c>
      <c r="O20" s="14"/>
      <c r="P20" s="14"/>
      <c r="Q20" s="32"/>
      <c r="R20" s="14"/>
      <c r="S20" s="14"/>
      <c r="T20" s="14"/>
      <c r="U20" s="14"/>
    </row>
    <row r="21" spans="1:21" x14ac:dyDescent="0.3">
      <c r="A21" s="14"/>
      <c r="B21" s="14" t="s">
        <v>32</v>
      </c>
      <c r="C21" s="27"/>
      <c r="D21" s="28">
        <v>71</v>
      </c>
      <c r="E21" s="29">
        <v>99</v>
      </c>
      <c r="F21" s="28">
        <f t="shared" si="4"/>
        <v>70.290000000000006</v>
      </c>
      <c r="G21" s="29">
        <v>730</v>
      </c>
      <c r="H21" s="28">
        <v>8.1</v>
      </c>
      <c r="I21" s="28">
        <v>0.1</v>
      </c>
      <c r="J21" s="28">
        <v>1.3</v>
      </c>
      <c r="K21" s="28">
        <v>1.2</v>
      </c>
      <c r="L21" s="29">
        <v>70</v>
      </c>
      <c r="M21" s="28">
        <v>4</v>
      </c>
      <c r="N21" s="30" t="s">
        <v>13</v>
      </c>
      <c r="O21" s="14"/>
      <c r="P21" s="14"/>
      <c r="Q21" s="32">
        <f t="shared" ref="Q21:Q26" si="5">C21*D21/100*E21/100</f>
        <v>0</v>
      </c>
      <c r="R21" s="14"/>
      <c r="S21" s="14"/>
      <c r="T21" s="14"/>
      <c r="U21" s="14"/>
    </row>
    <row r="22" spans="1:21" x14ac:dyDescent="0.3">
      <c r="A22" s="14"/>
      <c r="B22" s="14" t="s">
        <v>17</v>
      </c>
      <c r="C22" s="27"/>
      <c r="D22" s="28">
        <v>66</v>
      </c>
      <c r="E22" s="29">
        <v>90</v>
      </c>
      <c r="F22" s="28">
        <f t="shared" si="4"/>
        <v>59.4</v>
      </c>
      <c r="G22" s="29">
        <v>400</v>
      </c>
      <c r="H22" s="28">
        <v>15.2</v>
      </c>
      <c r="I22" s="28">
        <v>7.6</v>
      </c>
      <c r="J22" s="28">
        <v>1.3</v>
      </c>
      <c r="K22" s="28">
        <v>6.6</v>
      </c>
      <c r="L22" s="29">
        <v>65</v>
      </c>
      <c r="M22" s="28">
        <v>4</v>
      </c>
      <c r="N22" s="30" t="s">
        <v>13</v>
      </c>
      <c r="O22" s="14"/>
      <c r="P22" s="14"/>
      <c r="Q22" s="32">
        <f t="shared" si="5"/>
        <v>0</v>
      </c>
      <c r="R22" s="14"/>
      <c r="S22" s="14"/>
      <c r="T22" s="14"/>
      <c r="U22" s="14"/>
    </row>
    <row r="23" spans="1:21" x14ac:dyDescent="0.3">
      <c r="A23" s="14"/>
      <c r="B23" s="14" t="s">
        <v>29</v>
      </c>
      <c r="C23" s="27"/>
      <c r="D23" s="28">
        <v>6</v>
      </c>
      <c r="E23" s="29">
        <v>90</v>
      </c>
      <c r="F23" s="28">
        <f t="shared" si="4"/>
        <v>5.4</v>
      </c>
      <c r="G23" s="29">
        <v>420</v>
      </c>
      <c r="H23" s="28">
        <v>3</v>
      </c>
      <c r="I23" s="28">
        <v>1.5</v>
      </c>
      <c r="J23" s="28">
        <v>0.5</v>
      </c>
      <c r="K23" s="28">
        <v>1.4</v>
      </c>
      <c r="L23" s="29">
        <v>65</v>
      </c>
      <c r="M23" s="28">
        <v>4</v>
      </c>
      <c r="N23" s="30" t="s">
        <v>13</v>
      </c>
      <c r="O23" s="14"/>
      <c r="P23" s="14"/>
      <c r="Q23" s="32">
        <f t="shared" si="5"/>
        <v>0</v>
      </c>
      <c r="R23" s="14"/>
      <c r="S23" s="14"/>
      <c r="T23" s="14"/>
      <c r="U23" s="14"/>
    </row>
    <row r="24" spans="1:21" x14ac:dyDescent="0.3">
      <c r="A24" s="14"/>
      <c r="B24" s="14" t="s">
        <v>19</v>
      </c>
      <c r="C24" s="27"/>
      <c r="D24" s="28">
        <v>90</v>
      </c>
      <c r="E24" s="29">
        <v>95</v>
      </c>
      <c r="F24" s="28">
        <f t="shared" si="4"/>
        <v>85.5</v>
      </c>
      <c r="G24" s="29">
        <v>380</v>
      </c>
      <c r="H24" s="28">
        <v>13.5</v>
      </c>
      <c r="I24" s="28">
        <v>6.8</v>
      </c>
      <c r="J24" s="28">
        <v>3.6</v>
      </c>
      <c r="K24" s="28">
        <v>9</v>
      </c>
      <c r="L24" s="29">
        <v>50</v>
      </c>
      <c r="M24" s="28">
        <v>4</v>
      </c>
      <c r="N24" s="30" t="s">
        <v>13</v>
      </c>
      <c r="O24" s="14"/>
      <c r="P24" s="14"/>
      <c r="Q24" s="32">
        <f t="shared" si="5"/>
        <v>0</v>
      </c>
      <c r="R24" s="14"/>
      <c r="S24" s="14"/>
      <c r="T24" s="14"/>
      <c r="U24" s="14"/>
    </row>
    <row r="25" spans="1:21" x14ac:dyDescent="0.3">
      <c r="A25" s="14"/>
      <c r="B25" s="14" t="s">
        <v>15</v>
      </c>
      <c r="C25" s="27"/>
      <c r="D25" s="28">
        <v>40</v>
      </c>
      <c r="E25" s="29">
        <v>90</v>
      </c>
      <c r="F25" s="28">
        <f t="shared" si="4"/>
        <v>36</v>
      </c>
      <c r="G25" s="29">
        <v>800</v>
      </c>
      <c r="H25" s="28">
        <v>1.2</v>
      </c>
      <c r="I25" s="28">
        <v>0.4</v>
      </c>
      <c r="J25" s="28">
        <v>0.4</v>
      </c>
      <c r="K25" s="28">
        <v>4</v>
      </c>
      <c r="L25" s="29">
        <v>70</v>
      </c>
      <c r="M25" s="28">
        <v>4</v>
      </c>
      <c r="N25" s="30" t="s">
        <v>13</v>
      </c>
      <c r="O25" s="14"/>
      <c r="P25" s="14"/>
      <c r="Q25" s="32">
        <f t="shared" si="5"/>
        <v>0</v>
      </c>
      <c r="R25" s="14"/>
      <c r="S25" s="14"/>
      <c r="T25" s="14"/>
      <c r="U25" s="14"/>
    </row>
    <row r="26" spans="1:21" x14ac:dyDescent="0.3">
      <c r="A26" s="14"/>
      <c r="B26" s="14" t="s">
        <v>21</v>
      </c>
      <c r="C26" s="27"/>
      <c r="D26" s="28">
        <v>35</v>
      </c>
      <c r="E26" s="29">
        <v>90</v>
      </c>
      <c r="F26" s="28">
        <f t="shared" si="4"/>
        <v>31.5</v>
      </c>
      <c r="G26" s="29">
        <v>600</v>
      </c>
      <c r="H26" s="28">
        <v>32</v>
      </c>
      <c r="I26" s="28">
        <v>16</v>
      </c>
      <c r="J26" s="28">
        <v>4</v>
      </c>
      <c r="K26" s="28">
        <v>4</v>
      </c>
      <c r="L26" s="29">
        <v>65</v>
      </c>
      <c r="M26" s="28">
        <v>4</v>
      </c>
      <c r="N26" s="30" t="s">
        <v>13</v>
      </c>
      <c r="O26" s="14"/>
      <c r="P26" s="14"/>
      <c r="Q26" s="32">
        <f t="shared" si="5"/>
        <v>0</v>
      </c>
      <c r="R26" s="14"/>
      <c r="S26" s="14"/>
      <c r="T26" s="14"/>
      <c r="U26" s="14"/>
    </row>
    <row r="27" spans="1:21" x14ac:dyDescent="0.3">
      <c r="A27" s="14"/>
      <c r="B27" s="14" t="s">
        <v>14</v>
      </c>
      <c r="C27" s="27"/>
      <c r="D27" s="28">
        <v>11</v>
      </c>
      <c r="E27" s="29">
        <v>92</v>
      </c>
      <c r="F27" s="28">
        <f t="shared" ref="F27:F42" si="6">D27*E27/100</f>
        <v>10.119999999999999</v>
      </c>
      <c r="G27" s="29">
        <v>400</v>
      </c>
      <c r="H27" s="28">
        <v>1.8</v>
      </c>
      <c r="I27" s="28">
        <v>0.9</v>
      </c>
      <c r="J27" s="28">
        <v>0.2</v>
      </c>
      <c r="K27" s="28">
        <v>2.2000000000000002</v>
      </c>
      <c r="L27" s="29">
        <v>55</v>
      </c>
      <c r="M27" s="28">
        <v>4</v>
      </c>
      <c r="N27" s="30" t="s">
        <v>13</v>
      </c>
      <c r="O27" s="14"/>
      <c r="P27" s="14"/>
      <c r="Q27" s="32">
        <f t="shared" si="1"/>
        <v>0</v>
      </c>
      <c r="R27" s="14"/>
      <c r="S27" s="14"/>
      <c r="T27" s="14"/>
      <c r="U27" s="14"/>
    </row>
    <row r="28" spans="1:21" x14ac:dyDescent="0.3">
      <c r="A28" s="14"/>
      <c r="B28" s="14" t="s">
        <v>37</v>
      </c>
      <c r="C28" s="27"/>
      <c r="D28" s="28">
        <v>87</v>
      </c>
      <c r="E28" s="29">
        <v>90</v>
      </c>
      <c r="F28" s="28">
        <f>D28*E28/100</f>
        <v>78.3</v>
      </c>
      <c r="G28" s="29">
        <v>230</v>
      </c>
      <c r="H28" s="28">
        <v>4.4000000000000004</v>
      </c>
      <c r="I28" s="28">
        <v>2.2000000000000002</v>
      </c>
      <c r="J28" s="28">
        <v>0.9</v>
      </c>
      <c r="K28" s="28">
        <v>13.1</v>
      </c>
      <c r="L28" s="29">
        <v>55</v>
      </c>
      <c r="M28" s="28">
        <v>4</v>
      </c>
      <c r="N28" s="30" t="s">
        <v>13</v>
      </c>
      <c r="O28" s="14"/>
      <c r="P28" s="14"/>
      <c r="Q28" s="32">
        <f>C28*D28/100*E28/100</f>
        <v>0</v>
      </c>
      <c r="R28" s="14"/>
      <c r="S28" s="14"/>
      <c r="T28" s="14"/>
      <c r="U28" s="14"/>
    </row>
    <row r="29" spans="1:21" x14ac:dyDescent="0.3">
      <c r="A29" s="14"/>
      <c r="B29" s="14" t="s">
        <v>16</v>
      </c>
      <c r="C29" s="27"/>
      <c r="D29" s="28">
        <v>95</v>
      </c>
      <c r="E29" s="29">
        <v>99</v>
      </c>
      <c r="F29" s="28">
        <f>D29*E29/100</f>
        <v>94.05</v>
      </c>
      <c r="G29" s="29">
        <v>580</v>
      </c>
      <c r="H29" s="28">
        <v>0</v>
      </c>
      <c r="I29" s="28">
        <v>0</v>
      </c>
      <c r="J29" s="28">
        <v>0</v>
      </c>
      <c r="K29" s="28">
        <v>0</v>
      </c>
      <c r="L29" s="29">
        <v>70</v>
      </c>
      <c r="M29" s="28">
        <v>4</v>
      </c>
      <c r="N29" s="30" t="s">
        <v>12</v>
      </c>
      <c r="O29" s="14"/>
      <c r="P29" s="14"/>
      <c r="Q29" s="32">
        <f>C29*D29/100*E29/100</f>
        <v>0</v>
      </c>
      <c r="R29" s="14"/>
      <c r="S29" s="14"/>
      <c r="T29" s="14"/>
      <c r="U29" s="14"/>
    </row>
    <row r="30" spans="1:21" x14ac:dyDescent="0.3">
      <c r="A30" s="22" t="s">
        <v>506</v>
      </c>
      <c r="B30" s="23"/>
      <c r="C30" s="23"/>
      <c r="D30" s="23"/>
      <c r="E30" s="24"/>
      <c r="F30" s="23"/>
      <c r="G30" s="25"/>
      <c r="H30" s="23"/>
      <c r="I30" s="23"/>
      <c r="J30" s="23"/>
      <c r="K30" s="23"/>
      <c r="L30" s="23"/>
      <c r="M30" s="23"/>
      <c r="N30" s="23"/>
      <c r="O30" s="14"/>
      <c r="P30" s="14"/>
      <c r="Q30" s="26"/>
      <c r="R30" s="14"/>
      <c r="S30" s="14"/>
      <c r="T30" s="14"/>
      <c r="U30" s="14"/>
    </row>
    <row r="31" spans="1:21" x14ac:dyDescent="0.3">
      <c r="A31" s="14"/>
      <c r="B31" s="14" t="s">
        <v>1</v>
      </c>
      <c r="C31" s="27"/>
      <c r="D31" s="28">
        <v>20</v>
      </c>
      <c r="E31" s="29">
        <v>70</v>
      </c>
      <c r="F31" s="28">
        <f>D31*E31/100</f>
        <v>14</v>
      </c>
      <c r="G31" s="29">
        <v>300</v>
      </c>
      <c r="H31" s="28">
        <v>8</v>
      </c>
      <c r="I31" s="28">
        <v>3.2</v>
      </c>
      <c r="J31" s="28">
        <v>5</v>
      </c>
      <c r="K31" s="28">
        <v>2</v>
      </c>
      <c r="L31" s="29">
        <v>65</v>
      </c>
      <c r="M31" s="28">
        <v>9.5</v>
      </c>
      <c r="N31" s="30" t="s">
        <v>12</v>
      </c>
      <c r="O31" s="14"/>
      <c r="P31" s="14"/>
      <c r="Q31" s="32">
        <f>C31*D31/100*E31/100</f>
        <v>0</v>
      </c>
      <c r="R31" s="14"/>
      <c r="S31" s="14"/>
      <c r="T31" s="14"/>
      <c r="U31" s="14"/>
    </row>
    <row r="32" spans="1:21" x14ac:dyDescent="0.3">
      <c r="A32" s="14"/>
      <c r="B32" s="14" t="s">
        <v>452</v>
      </c>
      <c r="C32" s="27"/>
      <c r="D32" s="28">
        <v>20</v>
      </c>
      <c r="E32" s="29">
        <v>70</v>
      </c>
      <c r="F32" s="28">
        <f>D32*E32/100</f>
        <v>14</v>
      </c>
      <c r="G32" s="29">
        <v>100</v>
      </c>
      <c r="H32" s="28">
        <v>3</v>
      </c>
      <c r="I32" s="28">
        <v>1.2</v>
      </c>
      <c r="J32" s="28">
        <v>0.6</v>
      </c>
      <c r="K32" s="28">
        <v>2</v>
      </c>
      <c r="L32" s="29">
        <v>65</v>
      </c>
      <c r="M32" s="28">
        <v>9.5</v>
      </c>
      <c r="N32" s="30" t="s">
        <v>12</v>
      </c>
      <c r="O32" s="14"/>
      <c r="P32" s="14"/>
      <c r="Q32" s="32">
        <f>C32*D32/100*E32/100</f>
        <v>0</v>
      </c>
      <c r="R32" s="14"/>
      <c r="S32" s="14"/>
      <c r="T32" s="14"/>
      <c r="U32" s="14"/>
    </row>
    <row r="33" spans="1:21" x14ac:dyDescent="0.3">
      <c r="A33" s="14"/>
      <c r="B33" s="14" t="s">
        <v>2</v>
      </c>
      <c r="C33" s="27"/>
      <c r="D33" s="28">
        <v>20</v>
      </c>
      <c r="E33" s="29">
        <v>70</v>
      </c>
      <c r="F33" s="28">
        <f>D33*E33/100</f>
        <v>14</v>
      </c>
      <c r="G33" s="29">
        <v>130</v>
      </c>
      <c r="H33" s="28">
        <v>2.4</v>
      </c>
      <c r="I33" s="28">
        <v>1</v>
      </c>
      <c r="J33" s="28">
        <v>0.2</v>
      </c>
      <c r="K33" s="28">
        <v>2</v>
      </c>
      <c r="L33" s="29">
        <v>65</v>
      </c>
      <c r="M33" s="28">
        <v>9.5</v>
      </c>
      <c r="N33" s="30" t="s">
        <v>12</v>
      </c>
      <c r="O33" s="14"/>
      <c r="P33" s="14"/>
      <c r="Q33" s="32">
        <f>C33*D33/100*E33/100</f>
        <v>0</v>
      </c>
      <c r="R33" s="14"/>
      <c r="S33" s="14"/>
      <c r="T33" s="14"/>
      <c r="U33" s="14"/>
    </row>
    <row r="34" spans="1:21" x14ac:dyDescent="0.3">
      <c r="A34" s="14"/>
      <c r="B34" s="14" t="s">
        <v>33</v>
      </c>
      <c r="C34" s="27"/>
      <c r="D34" s="28">
        <v>20</v>
      </c>
      <c r="E34" s="29">
        <v>60</v>
      </c>
      <c r="F34" s="28">
        <f>D34*E34/100</f>
        <v>12</v>
      </c>
      <c r="G34" s="29">
        <v>300</v>
      </c>
      <c r="H34" s="28">
        <v>8</v>
      </c>
      <c r="I34" s="28">
        <v>3.2</v>
      </c>
      <c r="J34" s="28">
        <v>5</v>
      </c>
      <c r="K34" s="28">
        <v>2</v>
      </c>
      <c r="L34" s="29">
        <v>65</v>
      </c>
      <c r="M34" s="28">
        <v>9.5</v>
      </c>
      <c r="N34" s="30" t="s">
        <v>12</v>
      </c>
      <c r="O34" s="14"/>
      <c r="P34" s="14"/>
      <c r="Q34" s="32">
        <f>C34*D34/100*E34/100</f>
        <v>0</v>
      </c>
      <c r="R34" s="14"/>
      <c r="S34" s="14"/>
      <c r="T34" s="14"/>
      <c r="U34" s="14"/>
    </row>
    <row r="35" spans="1:21" x14ac:dyDescent="0.3">
      <c r="A35" s="22" t="s">
        <v>507</v>
      </c>
      <c r="B35" s="23"/>
      <c r="C35" s="23"/>
      <c r="D35" s="23"/>
      <c r="E35" s="24"/>
      <c r="F35" s="23"/>
      <c r="G35" s="25"/>
      <c r="H35" s="23"/>
      <c r="I35" s="23"/>
      <c r="J35" s="23"/>
      <c r="K35" s="23"/>
      <c r="L35" s="23"/>
      <c r="M35" s="23"/>
      <c r="N35" s="23"/>
      <c r="O35" s="14"/>
      <c r="P35" s="14"/>
      <c r="Q35" s="26"/>
      <c r="R35" s="14"/>
      <c r="S35" s="14"/>
      <c r="T35" s="14"/>
      <c r="U35" s="14"/>
    </row>
    <row r="36" spans="1:21" x14ac:dyDescent="0.3">
      <c r="A36" s="14"/>
      <c r="B36" s="14" t="s">
        <v>30</v>
      </c>
      <c r="C36" s="27">
        <v>1000</v>
      </c>
      <c r="D36" s="28">
        <v>30</v>
      </c>
      <c r="E36" s="29">
        <v>90</v>
      </c>
      <c r="F36" s="28">
        <f t="shared" ref="F36:F41" si="7">D36*E36/100</f>
        <v>27</v>
      </c>
      <c r="G36" s="29">
        <v>350</v>
      </c>
      <c r="H36" s="28">
        <v>7.7</v>
      </c>
      <c r="I36" s="28">
        <v>0.3</v>
      </c>
      <c r="J36" s="28">
        <v>0.9</v>
      </c>
      <c r="K36" s="28">
        <v>8.4</v>
      </c>
      <c r="L36" s="29">
        <v>55</v>
      </c>
      <c r="M36" s="28">
        <v>4</v>
      </c>
      <c r="N36" s="30" t="s">
        <v>13</v>
      </c>
      <c r="O36" s="14"/>
      <c r="P36" s="14"/>
      <c r="Q36" s="32">
        <f>C36*D36/100*E36/100</f>
        <v>270</v>
      </c>
      <c r="R36" s="14"/>
      <c r="S36" s="14"/>
      <c r="T36" s="14"/>
      <c r="U36" s="14"/>
    </row>
    <row r="37" spans="1:21" x14ac:dyDescent="0.3">
      <c r="A37" s="14"/>
      <c r="B37" s="14" t="s">
        <v>508</v>
      </c>
      <c r="C37" s="27"/>
      <c r="D37" s="28">
        <v>30</v>
      </c>
      <c r="E37" s="29">
        <v>90</v>
      </c>
      <c r="F37" s="28">
        <f t="shared" si="7"/>
        <v>27</v>
      </c>
      <c r="G37" s="29">
        <v>250</v>
      </c>
      <c r="H37" s="28">
        <v>4.8</v>
      </c>
      <c r="I37" s="28">
        <v>0.2</v>
      </c>
      <c r="J37" s="28">
        <v>1.2</v>
      </c>
      <c r="K37" s="28">
        <v>7.7</v>
      </c>
      <c r="L37" s="29">
        <v>55</v>
      </c>
      <c r="M37" s="28">
        <v>4</v>
      </c>
      <c r="N37" s="30" t="s">
        <v>13</v>
      </c>
      <c r="O37" s="14"/>
      <c r="P37" s="14"/>
      <c r="Q37" s="32"/>
      <c r="R37" s="14"/>
      <c r="S37" s="14"/>
      <c r="T37" s="14"/>
      <c r="U37" s="14"/>
    </row>
    <row r="38" spans="1:21" x14ac:dyDescent="0.3">
      <c r="A38" s="14"/>
      <c r="B38" s="16" t="s">
        <v>509</v>
      </c>
      <c r="C38" s="27"/>
      <c r="D38" s="28">
        <v>11</v>
      </c>
      <c r="E38" s="29">
        <v>85</v>
      </c>
      <c r="F38" s="28">
        <f t="shared" si="7"/>
        <v>9.35</v>
      </c>
      <c r="G38" s="29">
        <v>300</v>
      </c>
      <c r="H38" s="28">
        <v>2.4</v>
      </c>
      <c r="I38" s="28">
        <v>0.1</v>
      </c>
      <c r="J38" s="28">
        <v>0.2</v>
      </c>
      <c r="K38" s="28">
        <v>5.3</v>
      </c>
      <c r="L38" s="29">
        <v>55</v>
      </c>
      <c r="M38" s="28">
        <v>4</v>
      </c>
      <c r="N38" s="30" t="s">
        <v>13</v>
      </c>
      <c r="P38" s="14"/>
    </row>
    <row r="39" spans="1:21" x14ac:dyDescent="0.3">
      <c r="A39" s="14"/>
      <c r="B39" s="14" t="s">
        <v>20</v>
      </c>
      <c r="C39" s="27"/>
      <c r="D39" s="28">
        <v>85</v>
      </c>
      <c r="E39" s="29">
        <v>91</v>
      </c>
      <c r="F39" s="28">
        <f t="shared" si="7"/>
        <v>77.349999999999994</v>
      </c>
      <c r="G39" s="29">
        <v>280</v>
      </c>
      <c r="H39" s="28">
        <v>5.0999999999999996</v>
      </c>
      <c r="I39" s="28">
        <v>0.3</v>
      </c>
      <c r="J39" s="28">
        <v>0.9</v>
      </c>
      <c r="K39" s="28">
        <v>12.8</v>
      </c>
      <c r="L39" s="29">
        <v>55</v>
      </c>
      <c r="M39" s="28">
        <v>4</v>
      </c>
      <c r="N39" s="30" t="s">
        <v>13</v>
      </c>
      <c r="O39" s="14"/>
      <c r="P39" s="14"/>
      <c r="Q39" s="32">
        <f>C39*D39/100*E39/100</f>
        <v>0</v>
      </c>
      <c r="R39" s="14"/>
      <c r="S39" s="14"/>
      <c r="T39" s="14"/>
      <c r="U39" s="14"/>
    </row>
    <row r="40" spans="1:21" x14ac:dyDescent="0.3">
      <c r="A40" s="14"/>
      <c r="B40" s="14" t="s">
        <v>38</v>
      </c>
      <c r="C40" s="27"/>
      <c r="D40" s="28">
        <v>90</v>
      </c>
      <c r="E40" s="29">
        <v>92</v>
      </c>
      <c r="F40" s="28">
        <f t="shared" si="7"/>
        <v>82.8</v>
      </c>
      <c r="G40" s="29">
        <v>250</v>
      </c>
      <c r="H40" s="28">
        <v>14.4</v>
      </c>
      <c r="I40" s="28">
        <v>0.7</v>
      </c>
      <c r="J40" s="28">
        <v>0.9</v>
      </c>
      <c r="K40" s="28">
        <v>9</v>
      </c>
      <c r="L40" s="29">
        <v>65</v>
      </c>
      <c r="M40" s="28">
        <v>4</v>
      </c>
      <c r="N40" s="30" t="s">
        <v>13</v>
      </c>
      <c r="O40" s="14"/>
      <c r="P40" s="14"/>
      <c r="Q40" s="32"/>
      <c r="R40" s="14"/>
      <c r="S40" s="14"/>
      <c r="T40" s="14"/>
      <c r="U40" s="14"/>
    </row>
    <row r="41" spans="1:21" x14ac:dyDescent="0.3">
      <c r="A41" s="14"/>
      <c r="B41" s="14" t="s">
        <v>35</v>
      </c>
      <c r="C41" s="27"/>
      <c r="D41" s="28">
        <v>32</v>
      </c>
      <c r="E41" s="29">
        <v>97</v>
      </c>
      <c r="F41" s="28">
        <f t="shared" si="7"/>
        <v>31.04</v>
      </c>
      <c r="G41" s="29">
        <v>250</v>
      </c>
      <c r="H41" s="28">
        <v>3.2</v>
      </c>
      <c r="I41" s="28">
        <v>0.2</v>
      </c>
      <c r="J41" s="28">
        <v>0.3</v>
      </c>
      <c r="K41" s="28">
        <v>9.6</v>
      </c>
      <c r="L41" s="29">
        <v>55</v>
      </c>
      <c r="M41" s="28">
        <v>4</v>
      </c>
      <c r="N41" s="30" t="s">
        <v>13</v>
      </c>
      <c r="O41" s="14"/>
      <c r="P41" s="14"/>
      <c r="Q41" s="32">
        <f>C41*D41/100*E41/100</f>
        <v>0</v>
      </c>
      <c r="R41" s="14"/>
      <c r="S41" s="14"/>
      <c r="T41" s="14"/>
      <c r="U41" s="14"/>
    </row>
    <row r="42" spans="1:21" x14ac:dyDescent="0.3">
      <c r="A42" s="14"/>
      <c r="B42" s="14" t="s">
        <v>31</v>
      </c>
      <c r="C42" s="27"/>
      <c r="D42" s="28">
        <v>40</v>
      </c>
      <c r="E42" s="29">
        <v>90</v>
      </c>
      <c r="F42" s="28">
        <f t="shared" si="6"/>
        <v>36</v>
      </c>
      <c r="G42" s="29">
        <v>280</v>
      </c>
      <c r="H42" s="28">
        <v>5</v>
      </c>
      <c r="I42" s="28">
        <v>0.4</v>
      </c>
      <c r="J42" s="28">
        <v>0.6</v>
      </c>
      <c r="K42" s="28">
        <v>5.4</v>
      </c>
      <c r="L42" s="29">
        <v>55</v>
      </c>
      <c r="M42" s="28">
        <v>4</v>
      </c>
      <c r="N42" s="30" t="s">
        <v>13</v>
      </c>
      <c r="O42" s="14"/>
      <c r="P42" s="14"/>
      <c r="Q42" s="32">
        <f t="shared" si="1"/>
        <v>0</v>
      </c>
      <c r="R42" s="14"/>
      <c r="S42" s="14"/>
      <c r="T42" s="14"/>
      <c r="U42" s="14"/>
    </row>
    <row r="43" spans="1:21" x14ac:dyDescent="0.3">
      <c r="A43" s="22" t="s">
        <v>499</v>
      </c>
      <c r="B43" s="23"/>
      <c r="C43" s="23"/>
      <c r="D43" s="23"/>
      <c r="E43" s="24"/>
      <c r="F43" s="23"/>
      <c r="G43" s="25"/>
      <c r="H43" s="23"/>
      <c r="I43" s="23"/>
      <c r="J43" s="23"/>
      <c r="K43" s="23"/>
      <c r="L43" s="23"/>
      <c r="M43" s="23"/>
      <c r="N43" s="23"/>
      <c r="O43" s="14"/>
      <c r="P43" s="14"/>
      <c r="Q43" s="32"/>
      <c r="R43" s="14"/>
      <c r="S43" s="14"/>
      <c r="T43" s="14"/>
      <c r="U43" s="14"/>
    </row>
    <row r="44" spans="1:21" x14ac:dyDescent="0.3">
      <c r="A44" s="14"/>
      <c r="B44" s="29" t="s">
        <v>366</v>
      </c>
      <c r="C44" s="27"/>
      <c r="D44" s="28"/>
      <c r="E44" s="29"/>
      <c r="F44" s="28"/>
      <c r="G44" s="29"/>
      <c r="H44" s="28"/>
      <c r="I44" s="28"/>
      <c r="J44" s="28"/>
      <c r="K44" s="28"/>
      <c r="L44" s="29"/>
      <c r="M44" s="28"/>
      <c r="N44" s="30"/>
      <c r="O44" s="14"/>
      <c r="P44" s="14"/>
      <c r="Q44" s="32"/>
      <c r="R44" s="14"/>
      <c r="S44" s="14"/>
      <c r="T44" s="14"/>
      <c r="U44" s="14"/>
    </row>
    <row r="45" spans="1:21" x14ac:dyDescent="0.3">
      <c r="A45" s="14"/>
      <c r="B45" s="29" t="s">
        <v>367</v>
      </c>
      <c r="C45" s="27"/>
      <c r="D45" s="28"/>
      <c r="E45" s="29"/>
      <c r="F45" s="28"/>
      <c r="G45" s="29"/>
      <c r="H45" s="28"/>
      <c r="I45" s="28"/>
      <c r="J45" s="28"/>
      <c r="K45" s="28"/>
      <c r="L45" s="29"/>
      <c r="M45" s="28"/>
      <c r="N45" s="30"/>
      <c r="O45" s="14"/>
      <c r="P45" s="14"/>
      <c r="Q45" s="32"/>
      <c r="R45" s="14"/>
      <c r="S45" s="14"/>
      <c r="T45" s="14"/>
      <c r="U45" s="14"/>
    </row>
    <row r="46" spans="1:21" x14ac:dyDescent="0.3">
      <c r="A46" s="14"/>
      <c r="B46" s="34" t="s">
        <v>491</v>
      </c>
      <c r="C46" s="27"/>
      <c r="D46" s="35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8">
        <v>9.5</v>
      </c>
      <c r="N46" s="30" t="s">
        <v>12</v>
      </c>
      <c r="O46" s="31"/>
      <c r="P46" s="14"/>
      <c r="Q46" s="32"/>
      <c r="R46" s="14"/>
      <c r="S46" s="14"/>
      <c r="T46" s="14"/>
      <c r="U46" s="14"/>
    </row>
    <row r="47" spans="1:21" x14ac:dyDescent="0.3">
      <c r="A47" s="17" t="s">
        <v>496</v>
      </c>
      <c r="B47" s="17"/>
      <c r="C47" s="17"/>
      <c r="D47" s="36">
        <f>SUMPRODUCT($C5:$C46,D5:D46)/$C48</f>
        <v>12</v>
      </c>
      <c r="E47" s="37">
        <f>F47/D47*100</f>
        <v>83.571428571428569</v>
      </c>
      <c r="F47" s="36">
        <f>SUMPRODUCT($C5:$C46,F5:F46)/$C48</f>
        <v>10.028571428571428</v>
      </c>
      <c r="G47" s="36">
        <f>SUMPRODUCT($Q5:$Q46,G5:G46)/$Q48</f>
        <v>257.69230769230768</v>
      </c>
      <c r="H47" s="36">
        <f>SUMPRODUCT($C5:$C46,H5:H46)/$C48</f>
        <v>5.3857142857142861</v>
      </c>
      <c r="I47" s="36">
        <f>SUMPRODUCT($C5:$C46,I5:I46)/$C48</f>
        <v>2.5285714285714285</v>
      </c>
      <c r="J47" s="36">
        <f>SUMPRODUCT($C5:$C46,J5:J46)/$C48</f>
        <v>0.9</v>
      </c>
      <c r="K47" s="36">
        <f>SUMPRODUCT($C5:$C46,K5:K46)/$C48</f>
        <v>5.0571428571428569</v>
      </c>
      <c r="L47" s="37" cm="1">
        <f t="array" ref="L47">SUMPRODUCT((C5:C46*F5:F46/100*G5:G46),L5:L46)/G48</f>
        <v>59.776119402985074</v>
      </c>
      <c r="M47" s="36">
        <f>SUMPRODUCT($C5:$C46,M5:M46)/$C48</f>
        <v>8.7142857142857135</v>
      </c>
      <c r="N47" s="17" t="s">
        <v>18</v>
      </c>
      <c r="O47" s="14"/>
      <c r="P47" s="14"/>
      <c r="Q47" s="38"/>
      <c r="R47" s="14"/>
      <c r="S47" s="14"/>
      <c r="T47" s="14"/>
      <c r="U47" s="14"/>
    </row>
    <row r="48" spans="1:21" s="44" customFormat="1" ht="15.6" x14ac:dyDescent="0.35">
      <c r="A48" s="39" t="s">
        <v>568</v>
      </c>
      <c r="B48" s="39"/>
      <c r="C48" s="40">
        <f>SUM(C5:C46)</f>
        <v>7000</v>
      </c>
      <c r="D48" s="40">
        <f>C48*D47/100</f>
        <v>840</v>
      </c>
      <c r="E48" s="40" t="s">
        <v>18</v>
      </c>
      <c r="F48" s="40">
        <f>C48*F47/100</f>
        <v>702</v>
      </c>
      <c r="G48" s="40">
        <f>Q48*G47</f>
        <v>180900</v>
      </c>
      <c r="H48" s="41">
        <f>$C48*H47/1000</f>
        <v>37.700000000000003</v>
      </c>
      <c r="I48" s="41">
        <f>$C48*I47/1000</f>
        <v>17.7</v>
      </c>
      <c r="J48" s="41">
        <f>$C48*J47/1000</f>
        <v>6.3</v>
      </c>
      <c r="K48" s="41">
        <f>$C48*K47/1000</f>
        <v>35.4</v>
      </c>
      <c r="L48" s="39" t="s">
        <v>18</v>
      </c>
      <c r="M48" s="39" t="s">
        <v>18</v>
      </c>
      <c r="N48" s="39" t="s">
        <v>18</v>
      </c>
      <c r="O48" s="42"/>
      <c r="P48" s="42"/>
      <c r="Q48" s="43">
        <f>SUM(Q5:Q46)</f>
        <v>702</v>
      </c>
      <c r="R48" s="42"/>
      <c r="S48" s="42"/>
      <c r="T48" s="42"/>
      <c r="U48" s="42"/>
    </row>
    <row r="49" spans="1:17" s="14" customFormat="1" x14ac:dyDescent="0.3">
      <c r="C49" s="45"/>
      <c r="Q49" s="15"/>
    </row>
    <row r="50" spans="1:17" s="14" customFormat="1" ht="16.2" x14ac:dyDescent="0.3">
      <c r="B50" s="14" t="s">
        <v>50</v>
      </c>
      <c r="C50" s="45">
        <f>G48</f>
        <v>180900</v>
      </c>
      <c r="Q50" s="15"/>
    </row>
    <row r="51" spans="1:17" s="14" customFormat="1" x14ac:dyDescent="0.3">
      <c r="B51" s="46" t="s">
        <v>364</v>
      </c>
      <c r="C51" s="47">
        <f>G48*10</f>
        <v>1809000</v>
      </c>
      <c r="D51" s="31"/>
      <c r="E51" s="31" t="s">
        <v>365</v>
      </c>
      <c r="Q51" s="15"/>
    </row>
    <row r="52" spans="1:17" s="14" customFormat="1" x14ac:dyDescent="0.3">
      <c r="B52" s="46" t="s">
        <v>47</v>
      </c>
      <c r="C52" s="47">
        <f>G48*10/1000</f>
        <v>1809</v>
      </c>
      <c r="E52" s="31" t="s">
        <v>497</v>
      </c>
      <c r="H52" s="48"/>
      <c r="Q52" s="15"/>
    </row>
    <row r="53" spans="1:17" s="14" customFormat="1" x14ac:dyDescent="0.3">
      <c r="B53" s="14" t="s">
        <v>48</v>
      </c>
      <c r="C53" s="49">
        <f>C51/C48</f>
        <v>258.42857142857144</v>
      </c>
      <c r="Q53" s="15"/>
    </row>
    <row r="54" spans="1:17" s="14" customFormat="1" ht="16.2" x14ac:dyDescent="0.3">
      <c r="B54" s="14" t="s">
        <v>49</v>
      </c>
      <c r="C54" s="50">
        <f>C50/C48</f>
        <v>25.842857142857142</v>
      </c>
      <c r="Q54" s="15"/>
    </row>
    <row r="55" spans="1:17" s="14" customFormat="1" x14ac:dyDescent="0.3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Q55" s="15"/>
    </row>
    <row r="56" spans="1:17" s="14" customFormat="1" x14ac:dyDescent="0.3">
      <c r="Q56" s="15"/>
    </row>
    <row r="57" spans="1:17" s="14" customFormat="1" x14ac:dyDescent="0.3">
      <c r="Q57" s="15"/>
    </row>
    <row r="58" spans="1:17" s="14" customFormat="1" x14ac:dyDescent="0.3">
      <c r="Q58" s="15"/>
    </row>
    <row r="59" spans="1:17" s="14" customFormat="1" x14ac:dyDescent="0.3">
      <c r="B59" s="52" t="s">
        <v>12</v>
      </c>
      <c r="C59" s="53"/>
      <c r="D59" s="53"/>
      <c r="E59" s="53"/>
      <c r="F59" s="53"/>
      <c r="G59" s="15"/>
      <c r="Q59" s="15"/>
    </row>
    <row r="60" spans="1:17" s="14" customFormat="1" x14ac:dyDescent="0.3">
      <c r="B60" s="52" t="s">
        <v>13</v>
      </c>
      <c r="C60" s="53"/>
      <c r="D60" s="53"/>
      <c r="E60" s="53"/>
      <c r="F60" s="53"/>
      <c r="G60" s="15"/>
      <c r="Q60" s="15"/>
    </row>
    <row r="61" spans="1:17" s="14" customFormat="1" x14ac:dyDescent="0.3">
      <c r="B61" s="54"/>
      <c r="C61" s="53"/>
      <c r="D61" s="53"/>
      <c r="E61" s="53"/>
      <c r="F61" s="53"/>
      <c r="G61" s="15"/>
      <c r="Q61" s="15"/>
    </row>
    <row r="62" spans="1:17" s="14" customFormat="1" x14ac:dyDescent="0.3">
      <c r="B62" s="54"/>
      <c r="C62" s="53"/>
      <c r="D62" s="53"/>
      <c r="E62" s="53"/>
      <c r="F62" s="53"/>
      <c r="G62" s="15"/>
      <c r="Q62" s="15"/>
    </row>
    <row r="63" spans="1:17" s="14" customFormat="1" x14ac:dyDescent="0.3">
      <c r="B63" s="52" t="s">
        <v>98</v>
      </c>
      <c r="C63" s="53"/>
      <c r="D63" s="53"/>
      <c r="E63" s="53"/>
      <c r="F63" s="53"/>
      <c r="G63" s="15"/>
      <c r="Q63" s="15"/>
    </row>
    <row r="64" spans="1:17" s="14" customFormat="1" x14ac:dyDescent="0.3">
      <c r="B64" s="52" t="s">
        <v>57</v>
      </c>
      <c r="C64" s="53"/>
      <c r="D64" s="53"/>
      <c r="E64" s="53"/>
      <c r="F64" s="53"/>
      <c r="G64" s="15"/>
      <c r="Q64" s="15"/>
    </row>
    <row r="65" spans="2:17" s="14" customFormat="1" x14ac:dyDescent="0.3">
      <c r="B65" s="54"/>
      <c r="C65" s="53"/>
      <c r="D65" s="53"/>
      <c r="E65" s="53"/>
      <c r="F65" s="53"/>
      <c r="G65" s="15"/>
      <c r="Q65" s="15"/>
    </row>
    <row r="66" spans="2:17" s="14" customFormat="1" x14ac:dyDescent="0.3">
      <c r="B66" s="52" t="s">
        <v>116</v>
      </c>
      <c r="C66" s="53"/>
      <c r="D66" s="53"/>
      <c r="E66" s="53"/>
      <c r="F66" s="53"/>
      <c r="G66" s="15"/>
      <c r="Q66" s="15"/>
    </row>
    <row r="67" spans="2:17" s="14" customFormat="1" x14ac:dyDescent="0.3">
      <c r="B67" s="54" t="s">
        <v>117</v>
      </c>
      <c r="C67" s="53"/>
      <c r="D67" s="53"/>
      <c r="E67" s="53"/>
      <c r="F67" s="53"/>
      <c r="G67" s="15"/>
      <c r="Q67" s="15"/>
    </row>
    <row r="68" spans="2:17" s="14" customFormat="1" x14ac:dyDescent="0.3">
      <c r="B68" s="54" t="s">
        <v>233</v>
      </c>
      <c r="C68" s="53"/>
      <c r="D68" s="53"/>
      <c r="E68" s="53"/>
      <c r="F68" s="53"/>
      <c r="G68" s="15"/>
      <c r="Q68" s="15"/>
    </row>
    <row r="69" spans="2:17" s="14" customFormat="1" x14ac:dyDescent="0.3">
      <c r="B69" s="54" t="s">
        <v>234</v>
      </c>
      <c r="C69" s="53"/>
      <c r="D69" s="53"/>
      <c r="E69" s="53"/>
      <c r="F69" s="53"/>
      <c r="G69" s="15"/>
      <c r="Q69" s="15"/>
    </row>
    <row r="70" spans="2:17" s="14" customFormat="1" x14ac:dyDescent="0.3">
      <c r="B70" s="54"/>
      <c r="C70" s="53"/>
      <c r="D70" s="53"/>
      <c r="E70" s="53"/>
      <c r="F70" s="53"/>
      <c r="G70" s="15"/>
      <c r="Q70" s="15"/>
    </row>
    <row r="71" spans="2:17" s="14" customFormat="1" x14ac:dyDescent="0.3">
      <c r="B71" s="52" t="s">
        <v>322</v>
      </c>
      <c r="C71" s="53"/>
      <c r="D71" s="53"/>
      <c r="E71" s="53"/>
      <c r="F71" s="53"/>
      <c r="G71" s="15"/>
      <c r="Q71" s="15"/>
    </row>
    <row r="72" spans="2:17" s="14" customFormat="1" x14ac:dyDescent="0.3">
      <c r="B72" s="54" t="s">
        <v>323</v>
      </c>
      <c r="C72" s="53"/>
      <c r="D72" s="53"/>
      <c r="E72" s="53"/>
      <c r="F72" s="53"/>
      <c r="G72" s="15"/>
      <c r="Q72" s="15"/>
    </row>
    <row r="73" spans="2:17" s="14" customFormat="1" x14ac:dyDescent="0.3">
      <c r="B73" s="54" t="s">
        <v>324</v>
      </c>
      <c r="C73" s="53"/>
      <c r="D73" s="53"/>
      <c r="E73" s="53"/>
      <c r="F73" s="53"/>
      <c r="G73" s="15"/>
      <c r="Q73" s="15"/>
    </row>
    <row r="74" spans="2:17" s="14" customFormat="1" x14ac:dyDescent="0.3">
      <c r="B74" s="54" t="s">
        <v>430</v>
      </c>
      <c r="C74" s="53"/>
      <c r="D74" s="53"/>
      <c r="E74" s="53"/>
      <c r="F74" s="53"/>
      <c r="G74" s="15"/>
      <c r="Q74" s="15"/>
    </row>
    <row r="75" spans="2:17" s="14" customFormat="1" x14ac:dyDescent="0.3">
      <c r="B75" s="53"/>
      <c r="C75" s="53"/>
      <c r="D75" s="53"/>
      <c r="E75" s="53"/>
      <c r="F75" s="53"/>
      <c r="G75" s="15"/>
      <c r="Q75" s="15"/>
    </row>
    <row r="76" spans="2:17" x14ac:dyDescent="0.3">
      <c r="B76" s="33"/>
      <c r="C76" s="33"/>
      <c r="D76" s="33"/>
      <c r="E76" s="33"/>
      <c r="F76" s="33"/>
      <c r="G76" s="33"/>
    </row>
  </sheetData>
  <sheetProtection algorithmName="SHA-512" hashValue="xS86PVulmcbYpi6nh2nI/g5S3BvmXTNPlX4+60hWq3IwTVL9TQrYH/ip/57PSYHUH9Xg4n5zFjSWNWJLHARjDQ==" saltValue="LFzGmlt2/USNm3tuuPLQlA==" spinCount="100000" sheet="1" objects="1" scenarios="1"/>
  <protectedRanges>
    <protectedRange sqref="C5:N46" name="Alue1"/>
  </protectedRanges>
  <phoneticPr fontId="4" type="noConversion"/>
  <dataValidations count="1">
    <dataValidation type="list" allowBlank="1" showInputMessage="1" showErrorMessage="1" sqref="N5:N47" xr:uid="{518F2F44-FFFC-42E5-ABFC-C95B61633FE8}">
      <formula1>$B$59:$B$60</formula1>
    </dataValidation>
  </dataValidations>
  <pageMargins left="0.7" right="0.7" top="0.75" bottom="0.75" header="0.3" footer="0.3"/>
  <ignoredErrors>
    <ignoredError sqref="E47 G47 L47" formula="1"/>
  </ignoredErrors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722AD-C112-4134-B2FE-6D93DCCA6AEC}">
  <dimension ref="A1:R61"/>
  <sheetViews>
    <sheetView tabSelected="1" workbookViewId="0">
      <selection activeCell="G10" sqref="G10"/>
    </sheetView>
  </sheetViews>
  <sheetFormatPr defaultRowHeight="14.4" x14ac:dyDescent="0.3"/>
  <cols>
    <col min="1" max="1" width="49.33203125" style="80" customWidth="1"/>
    <col min="2" max="2" width="8.33203125" style="81" customWidth="1"/>
    <col min="3" max="3" width="12.44140625" style="80" customWidth="1"/>
    <col min="4" max="4" width="9.5546875" style="80" customWidth="1"/>
    <col min="5" max="5" width="8.88671875" style="80"/>
    <col min="6" max="6" width="10.44140625" style="80" bestFit="1" customWidth="1"/>
    <col min="7" max="7" width="9.5546875" style="80" bestFit="1" customWidth="1"/>
    <col min="8" max="14" width="8.88671875" style="80"/>
    <col min="15" max="18" width="8.88671875" style="82"/>
    <col min="19" max="16384" width="8.88671875" style="80"/>
  </cols>
  <sheetData>
    <row r="1" spans="1:12" s="55" customFormat="1" ht="24" thickBot="1" x14ac:dyDescent="0.5">
      <c r="A1" s="13" t="s">
        <v>482</v>
      </c>
      <c r="B1" s="13"/>
      <c r="C1" s="13"/>
    </row>
    <row r="2" spans="1:12" s="55" customFormat="1" ht="12" customHeight="1" thickTop="1" x14ac:dyDescent="0.3">
      <c r="A2" s="56"/>
      <c r="B2" s="57"/>
    </row>
    <row r="3" spans="1:12" s="55" customFormat="1" ht="21" x14ac:dyDescent="0.3">
      <c r="A3" s="56" t="s">
        <v>370</v>
      </c>
      <c r="B3" s="57"/>
      <c r="L3" s="58"/>
    </row>
    <row r="4" spans="1:12" s="55" customFormat="1" x14ac:dyDescent="0.3">
      <c r="A4" s="59" t="s">
        <v>486</v>
      </c>
      <c r="B4" s="57"/>
      <c r="L4" s="58"/>
    </row>
    <row r="5" spans="1:12" s="55" customFormat="1" x14ac:dyDescent="0.3">
      <c r="A5" s="60" t="s">
        <v>490</v>
      </c>
      <c r="B5" s="57"/>
      <c r="L5" s="58"/>
    </row>
    <row r="6" spans="1:12" s="55" customFormat="1" x14ac:dyDescent="0.3">
      <c r="A6" s="59" t="s">
        <v>489</v>
      </c>
      <c r="B6" s="57"/>
      <c r="L6" s="58"/>
    </row>
    <row r="7" spans="1:12" s="55" customFormat="1" x14ac:dyDescent="0.3">
      <c r="A7" s="59" t="s">
        <v>583</v>
      </c>
      <c r="B7" s="57"/>
      <c r="L7" s="58"/>
    </row>
    <row r="8" spans="1:12" s="55" customFormat="1" x14ac:dyDescent="0.3">
      <c r="B8" s="61"/>
      <c r="C8" s="62"/>
      <c r="D8" s="63"/>
    </row>
    <row r="9" spans="1:12" s="55" customFormat="1" x14ac:dyDescent="0.3">
      <c r="A9" s="62" t="s">
        <v>483</v>
      </c>
      <c r="B9" s="64">
        <f>'1. Syötteet'!C48</f>
        <v>7000</v>
      </c>
      <c r="C9" s="62" t="s">
        <v>42</v>
      </c>
      <c r="D9" s="63"/>
      <c r="L9" s="65"/>
    </row>
    <row r="10" spans="1:12" s="55" customFormat="1" x14ac:dyDescent="0.3">
      <c r="A10" s="55" t="s">
        <v>124</v>
      </c>
      <c r="B10" s="61">
        <f>'1. Syötteet'!D47</f>
        <v>12</v>
      </c>
      <c r="C10" s="62" t="s">
        <v>9</v>
      </c>
      <c r="D10" s="63"/>
      <c r="L10" s="66"/>
    </row>
    <row r="11" spans="1:12" s="55" customFormat="1" x14ac:dyDescent="0.3">
      <c r="B11" s="61"/>
      <c r="C11" s="62"/>
      <c r="D11" s="63"/>
      <c r="L11" s="66"/>
    </row>
    <row r="12" spans="1:12" s="62" customFormat="1" x14ac:dyDescent="0.3">
      <c r="A12" s="67" t="s">
        <v>492</v>
      </c>
      <c r="B12" s="68"/>
      <c r="C12" s="67"/>
      <c r="D12" s="69"/>
      <c r="L12" s="70"/>
    </row>
    <row r="13" spans="1:12" s="55" customFormat="1" x14ac:dyDescent="0.3">
      <c r="A13" s="59" t="s">
        <v>375</v>
      </c>
      <c r="B13" s="71">
        <f>IF(B10&gt;B22,B9*((B22-B10)/(B23-B22)),0)</f>
        <v>0</v>
      </c>
      <c r="C13" s="59" t="s">
        <v>42</v>
      </c>
      <c r="D13" s="63" t="s">
        <v>374</v>
      </c>
    </row>
    <row r="14" spans="1:12" s="55" customFormat="1" x14ac:dyDescent="0.3">
      <c r="A14" s="60" t="s">
        <v>377</v>
      </c>
      <c r="B14" s="72">
        <f>B13*B24/100*B25*10/1000</f>
        <v>0</v>
      </c>
      <c r="C14" s="59" t="s">
        <v>127</v>
      </c>
      <c r="D14" s="63" t="s">
        <v>376</v>
      </c>
    </row>
    <row r="15" spans="1:12" s="55" customFormat="1" x14ac:dyDescent="0.3">
      <c r="B15" s="61"/>
      <c r="C15" s="62"/>
      <c r="D15" s="63"/>
      <c r="L15" s="66"/>
    </row>
    <row r="16" spans="1:12" s="55" customFormat="1" x14ac:dyDescent="0.3">
      <c r="A16" s="73" t="s">
        <v>485</v>
      </c>
      <c r="B16" s="64">
        <f>B9+B13</f>
        <v>7000</v>
      </c>
      <c r="C16" s="62" t="s">
        <v>42</v>
      </c>
      <c r="D16" s="63" t="s">
        <v>371</v>
      </c>
    </row>
    <row r="17" spans="1:12" s="55" customFormat="1" x14ac:dyDescent="0.3">
      <c r="A17" s="60" t="s">
        <v>493</v>
      </c>
      <c r="B17" s="74">
        <f>(B9*B10/100+B13*B23/100)/B16*100</f>
        <v>12</v>
      </c>
      <c r="C17" s="62" t="s">
        <v>9</v>
      </c>
      <c r="D17" s="63"/>
    </row>
    <row r="18" spans="1:12" s="55" customFormat="1" x14ac:dyDescent="0.3">
      <c r="A18" s="60" t="s">
        <v>494</v>
      </c>
      <c r="B18" s="74">
        <f>(B9*'1. Syötteet'!F47/100+B13*B24/100)/B16*100</f>
        <v>10.028571428571428</v>
      </c>
      <c r="C18" s="62" t="s">
        <v>9</v>
      </c>
      <c r="D18" s="63" t="s">
        <v>372</v>
      </c>
    </row>
    <row r="19" spans="1:12" s="55" customFormat="1" x14ac:dyDescent="0.3">
      <c r="A19" s="60"/>
      <c r="B19" s="74"/>
      <c r="C19" s="62"/>
      <c r="D19" s="63"/>
    </row>
    <row r="20" spans="1:12" s="55" customFormat="1" x14ac:dyDescent="0.3">
      <c r="A20" s="75"/>
      <c r="B20" s="61"/>
      <c r="C20" s="62"/>
      <c r="D20" s="63"/>
      <c r="L20" s="66"/>
    </row>
    <row r="21" spans="1:12" s="75" customFormat="1" ht="17.399999999999999" customHeight="1" x14ac:dyDescent="0.3">
      <c r="A21" s="17" t="s">
        <v>223</v>
      </c>
      <c r="B21" s="17"/>
      <c r="C21" s="17"/>
    </row>
    <row r="22" spans="1:12" s="55" customFormat="1" x14ac:dyDescent="0.3">
      <c r="A22" s="55" t="s">
        <v>369</v>
      </c>
      <c r="B22" s="76">
        <v>15</v>
      </c>
      <c r="C22" s="59" t="s">
        <v>9</v>
      </c>
      <c r="D22" s="63"/>
    </row>
    <row r="23" spans="1:12" s="55" customFormat="1" x14ac:dyDescent="0.3">
      <c r="A23" s="55" t="s">
        <v>488</v>
      </c>
      <c r="B23" s="76">
        <v>5</v>
      </c>
      <c r="C23" s="59" t="s">
        <v>9</v>
      </c>
      <c r="D23" s="63"/>
    </row>
    <row r="24" spans="1:12" s="55" customFormat="1" x14ac:dyDescent="0.3">
      <c r="A24" s="55" t="s">
        <v>126</v>
      </c>
      <c r="B24" s="76">
        <f>0.7*B23</f>
        <v>3.5</v>
      </c>
      <c r="C24" s="59" t="s">
        <v>9</v>
      </c>
      <c r="D24" s="63"/>
    </row>
    <row r="25" spans="1:12" s="55" customFormat="1" ht="16.8" x14ac:dyDescent="0.35">
      <c r="A25" s="60" t="s">
        <v>373</v>
      </c>
      <c r="B25" s="77">
        <v>40</v>
      </c>
      <c r="C25" s="59" t="s">
        <v>125</v>
      </c>
      <c r="D25" s="63"/>
    </row>
    <row r="26" spans="1:12" s="55" customFormat="1" x14ac:dyDescent="0.3">
      <c r="B26" s="57"/>
    </row>
    <row r="27" spans="1:12" s="55" customFormat="1" x14ac:dyDescent="0.3">
      <c r="B27" s="61"/>
      <c r="C27" s="62"/>
      <c r="D27" s="63"/>
      <c r="L27" s="66"/>
    </row>
    <row r="28" spans="1:12" s="55" customFormat="1" x14ac:dyDescent="0.3">
      <c r="B28" s="57"/>
    </row>
    <row r="29" spans="1:12" s="55" customFormat="1" x14ac:dyDescent="0.3">
      <c r="B29" s="57"/>
    </row>
    <row r="30" spans="1:12" s="55" customFormat="1" x14ac:dyDescent="0.3">
      <c r="A30" s="60"/>
      <c r="B30" s="78"/>
      <c r="C30" s="62"/>
      <c r="J30" s="63"/>
    </row>
    <row r="31" spans="1:12" s="55" customFormat="1" x14ac:dyDescent="0.3">
      <c r="B31" s="57"/>
    </row>
    <row r="32" spans="1:12" s="55" customFormat="1" x14ac:dyDescent="0.3">
      <c r="B32" s="57"/>
    </row>
    <row r="33" spans="1:4" s="55" customFormat="1" x14ac:dyDescent="0.3">
      <c r="B33" s="57"/>
    </row>
    <row r="34" spans="1:4" s="55" customFormat="1" x14ac:dyDescent="0.3">
      <c r="A34" s="60"/>
      <c r="B34" s="74"/>
      <c r="C34" s="62"/>
      <c r="D34" s="63"/>
    </row>
    <row r="35" spans="1:4" s="55" customFormat="1" x14ac:dyDescent="0.3">
      <c r="A35" s="60"/>
      <c r="B35" s="74"/>
      <c r="C35" s="62"/>
      <c r="D35" s="63"/>
    </row>
    <row r="36" spans="1:4" s="55" customFormat="1" x14ac:dyDescent="0.3">
      <c r="B36" s="57"/>
    </row>
    <row r="37" spans="1:4" s="55" customFormat="1" x14ac:dyDescent="0.3">
      <c r="B37" s="57"/>
    </row>
    <row r="38" spans="1:4" s="55" customFormat="1" x14ac:dyDescent="0.3">
      <c r="B38" s="57"/>
    </row>
    <row r="39" spans="1:4" s="55" customFormat="1" x14ac:dyDescent="0.3">
      <c r="B39" s="57"/>
    </row>
    <row r="40" spans="1:4" s="55" customFormat="1" x14ac:dyDescent="0.3">
      <c r="B40" s="57"/>
    </row>
    <row r="41" spans="1:4" s="55" customFormat="1" x14ac:dyDescent="0.3">
      <c r="B41" s="57"/>
    </row>
    <row r="42" spans="1:4" s="55" customFormat="1" x14ac:dyDescent="0.3">
      <c r="B42" s="57"/>
    </row>
    <row r="43" spans="1:4" s="55" customFormat="1" x14ac:dyDescent="0.3">
      <c r="B43" s="79"/>
    </row>
    <row r="44" spans="1:4" s="55" customFormat="1" x14ac:dyDescent="0.3">
      <c r="B44" s="57"/>
    </row>
    <row r="45" spans="1:4" s="55" customFormat="1" x14ac:dyDescent="0.3">
      <c r="A45" s="62"/>
      <c r="B45" s="57"/>
    </row>
    <row r="46" spans="1:4" s="55" customFormat="1" x14ac:dyDescent="0.3">
      <c r="A46" s="62"/>
      <c r="B46" s="57"/>
    </row>
    <row r="47" spans="1:4" s="55" customFormat="1" x14ac:dyDescent="0.3">
      <c r="B47" s="57"/>
    </row>
    <row r="48" spans="1:4" s="55" customFormat="1" x14ac:dyDescent="0.3">
      <c r="B48" s="57"/>
    </row>
    <row r="49" spans="2:2" s="55" customFormat="1" x14ac:dyDescent="0.3">
      <c r="B49" s="57"/>
    </row>
    <row r="50" spans="2:2" s="55" customFormat="1" x14ac:dyDescent="0.3">
      <c r="B50" s="57"/>
    </row>
    <row r="51" spans="2:2" s="55" customFormat="1" x14ac:dyDescent="0.3">
      <c r="B51" s="57"/>
    </row>
    <row r="52" spans="2:2" s="55" customFormat="1" x14ac:dyDescent="0.3">
      <c r="B52" s="57"/>
    </row>
    <row r="53" spans="2:2" s="55" customFormat="1" x14ac:dyDescent="0.3">
      <c r="B53" s="57"/>
    </row>
    <row r="54" spans="2:2" s="55" customFormat="1" x14ac:dyDescent="0.3">
      <c r="B54" s="57"/>
    </row>
    <row r="55" spans="2:2" s="55" customFormat="1" x14ac:dyDescent="0.3">
      <c r="B55" s="57"/>
    </row>
    <row r="56" spans="2:2" s="55" customFormat="1" x14ac:dyDescent="0.3">
      <c r="B56" s="57"/>
    </row>
    <row r="57" spans="2:2" s="55" customFormat="1" x14ac:dyDescent="0.3">
      <c r="B57" s="57"/>
    </row>
    <row r="58" spans="2:2" s="55" customFormat="1" x14ac:dyDescent="0.3">
      <c r="B58" s="57"/>
    </row>
    <row r="59" spans="2:2" s="55" customFormat="1" x14ac:dyDescent="0.3">
      <c r="B59" s="57"/>
    </row>
    <row r="60" spans="2:2" s="55" customFormat="1" x14ac:dyDescent="0.3">
      <c r="B60" s="57"/>
    </row>
    <row r="61" spans="2:2" s="55" customFormat="1" x14ac:dyDescent="0.3">
      <c r="B61" s="57"/>
    </row>
  </sheetData>
  <sheetProtection algorithmName="SHA-512" hashValue="xRW4IYqcxtZCm8IJOt6SkWyx63zPRkKkZaqY6fncIjYmHgefK10N6uKKaYK6meVobv+zYjcfJjWaHwwZrLKj5Q==" saltValue="ZX3nP5ajZj6jE57083TgRg==" spinCount="100000" sheet="1" objects="1" scenarios="1"/>
  <protectedRanges>
    <protectedRange sqref="B22:B25" name="Alue1"/>
  </protectedRanges>
  <phoneticPr fontId="4" type="noConversion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5002D-656F-4BDD-8BBD-A69C08EE1F9F}">
  <dimension ref="A1:M81"/>
  <sheetViews>
    <sheetView topLeftCell="A20" workbookViewId="0">
      <selection activeCell="B38" sqref="B38"/>
    </sheetView>
  </sheetViews>
  <sheetFormatPr defaultRowHeight="14.4" x14ac:dyDescent="0.3"/>
  <cols>
    <col min="1" max="1" width="37.44140625" style="118" customWidth="1"/>
    <col min="2" max="6" width="14.5546875" style="118" customWidth="1"/>
    <col min="7" max="7" width="10.21875" style="118" customWidth="1"/>
    <col min="8" max="8" width="17.6640625" style="118" customWidth="1"/>
    <col min="9" max="16384" width="8.88671875" style="118"/>
  </cols>
  <sheetData>
    <row r="1" spans="1:8" s="83" customFormat="1" ht="24" thickBot="1" x14ac:dyDescent="0.5">
      <c r="A1" s="13" t="s">
        <v>106</v>
      </c>
      <c r="B1" s="13"/>
      <c r="C1" s="13"/>
      <c r="D1" s="13"/>
      <c r="E1" s="13"/>
      <c r="F1" s="13"/>
      <c r="G1" s="13"/>
      <c r="H1" s="13"/>
    </row>
    <row r="2" spans="1:8" s="83" customFormat="1" ht="16.2" thickTop="1" x14ac:dyDescent="0.3">
      <c r="A2" s="84"/>
      <c r="B2" s="85"/>
      <c r="C2" s="84"/>
      <c r="D2" s="86" t="s">
        <v>495</v>
      </c>
    </row>
    <row r="3" spans="1:8" s="83" customFormat="1" ht="21" x14ac:dyDescent="0.3">
      <c r="A3" s="56" t="s">
        <v>219</v>
      </c>
    </row>
    <row r="4" spans="1:8" s="83" customFormat="1" ht="15.6" x14ac:dyDescent="0.3">
      <c r="A4" s="84" t="s">
        <v>221</v>
      </c>
      <c r="B4" s="85">
        <f>SUMIF('1. Syötteet'!N5:N46,"Liete",'1. Syötteet'!C5:C46)</f>
        <v>6000</v>
      </c>
      <c r="C4" s="84" t="s">
        <v>42</v>
      </c>
      <c r="D4" s="86" t="s">
        <v>171</v>
      </c>
    </row>
    <row r="5" spans="1:8" s="83" customFormat="1" x14ac:dyDescent="0.3"/>
    <row r="6" spans="1:8" s="17" customFormat="1" ht="17.399999999999999" customHeight="1" x14ac:dyDescent="0.3">
      <c r="A6" s="17" t="s">
        <v>133</v>
      </c>
    </row>
    <row r="7" spans="1:8" s="83" customFormat="1" ht="30.6" x14ac:dyDescent="0.3">
      <c r="A7" s="87" t="s">
        <v>95</v>
      </c>
      <c r="B7" s="88" t="s">
        <v>54</v>
      </c>
      <c r="C7" s="88" t="s">
        <v>55</v>
      </c>
      <c r="D7" s="88" t="s">
        <v>110</v>
      </c>
      <c r="E7" s="88" t="s">
        <v>96</v>
      </c>
      <c r="F7" s="88" t="s">
        <v>97</v>
      </c>
    </row>
    <row r="8" spans="1:8" s="83" customFormat="1" x14ac:dyDescent="0.3">
      <c r="A8" s="83" t="s">
        <v>51</v>
      </c>
      <c r="B8" s="89">
        <f>B4</f>
        <v>6000</v>
      </c>
      <c r="C8" s="89">
        <v>10</v>
      </c>
      <c r="D8" s="90">
        <f>B8/365*C8</f>
        <v>164.38356164383563</v>
      </c>
      <c r="E8" s="91" t="s">
        <v>98</v>
      </c>
      <c r="F8" s="91" t="s">
        <v>98</v>
      </c>
      <c r="G8" s="86" t="s">
        <v>586</v>
      </c>
    </row>
    <row r="9" spans="1:8" s="83" customFormat="1" x14ac:dyDescent="0.3">
      <c r="A9" s="83" t="s">
        <v>52</v>
      </c>
      <c r="B9" s="89"/>
      <c r="C9" s="89"/>
      <c r="D9" s="90">
        <f t="shared" ref="D9:D10" si="0">B9/365*C9</f>
        <v>0</v>
      </c>
      <c r="E9" s="91" t="s">
        <v>57</v>
      </c>
      <c r="F9" s="91" t="s">
        <v>57</v>
      </c>
    </row>
    <row r="10" spans="1:8" s="83" customFormat="1" x14ac:dyDescent="0.3">
      <c r="A10" s="83" t="s">
        <v>53</v>
      </c>
      <c r="B10" s="89"/>
      <c r="C10" s="89"/>
      <c r="D10" s="90">
        <f t="shared" si="0"/>
        <v>0</v>
      </c>
      <c r="E10" s="91" t="s">
        <v>57</v>
      </c>
      <c r="F10" s="91" t="s">
        <v>57</v>
      </c>
    </row>
    <row r="11" spans="1:8" s="83" customFormat="1" x14ac:dyDescent="0.3"/>
    <row r="12" spans="1:8" s="83" customFormat="1" ht="21" x14ac:dyDescent="0.3">
      <c r="A12" s="56" t="s">
        <v>220</v>
      </c>
    </row>
    <row r="13" spans="1:8" s="83" customFormat="1" ht="15.6" x14ac:dyDescent="0.3">
      <c r="A13" s="84" t="s">
        <v>218</v>
      </c>
      <c r="B13" s="85">
        <f>SUMIF('1. Syötteet'!N5:N46,"Kiinteä",'1. Syötteet'!C5:C46)</f>
        <v>1000</v>
      </c>
      <c r="C13" s="84" t="s">
        <v>42</v>
      </c>
      <c r="D13" s="86" t="s">
        <v>171</v>
      </c>
    </row>
    <row r="14" spans="1:8" s="83" customFormat="1" x14ac:dyDescent="0.3">
      <c r="A14" s="92"/>
      <c r="B14" s="92"/>
      <c r="C14" s="92"/>
      <c r="D14" s="86"/>
    </row>
    <row r="15" spans="1:8" s="17" customFormat="1" ht="17.399999999999999" customHeight="1" x14ac:dyDescent="0.3">
      <c r="A15" s="17" t="s">
        <v>172</v>
      </c>
    </row>
    <row r="16" spans="1:8" s="93" customFormat="1" ht="30.6" x14ac:dyDescent="0.3">
      <c r="B16" s="88" t="s">
        <v>54</v>
      </c>
      <c r="C16" s="88" t="s">
        <v>55</v>
      </c>
      <c r="D16" s="88" t="s">
        <v>110</v>
      </c>
    </row>
    <row r="17" spans="1:13" s="83" customFormat="1" ht="16.2" x14ac:dyDescent="0.3">
      <c r="A17" s="83" t="s">
        <v>137</v>
      </c>
      <c r="B17" s="89">
        <f>B13</f>
        <v>1000</v>
      </c>
      <c r="C17" s="89">
        <v>10</v>
      </c>
      <c r="D17" s="90">
        <f>B17/365*C17/(500/1000)</f>
        <v>54.794520547945204</v>
      </c>
      <c r="E17" s="86" t="s">
        <v>216</v>
      </c>
    </row>
    <row r="18" spans="1:13" s="83" customFormat="1" x14ac:dyDescent="0.3">
      <c r="A18" s="83" t="s">
        <v>214</v>
      </c>
      <c r="B18" s="89"/>
      <c r="C18" s="89"/>
      <c r="D18" s="90">
        <f t="shared" ref="D18:D19" si="1">B18/365*C18/(500/1000)</f>
        <v>0</v>
      </c>
    </row>
    <row r="19" spans="1:13" s="83" customFormat="1" x14ac:dyDescent="0.3">
      <c r="A19" s="83" t="s">
        <v>215</v>
      </c>
      <c r="B19" s="89"/>
      <c r="C19" s="89"/>
      <c r="D19" s="90">
        <f t="shared" si="1"/>
        <v>0</v>
      </c>
    </row>
    <row r="20" spans="1:13" s="83" customFormat="1" x14ac:dyDescent="0.3"/>
    <row r="21" spans="1:13" s="83" customFormat="1" ht="16.2" x14ac:dyDescent="0.3">
      <c r="A21" s="83" t="s">
        <v>134</v>
      </c>
      <c r="B21" s="89"/>
      <c r="C21" s="89"/>
      <c r="D21" s="90">
        <f t="shared" ref="D21:D23" si="2">B21/365*C21/(500/1000)</f>
        <v>0</v>
      </c>
      <c r="E21" s="86" t="s">
        <v>216</v>
      </c>
    </row>
    <row r="22" spans="1:13" s="83" customFormat="1" x14ac:dyDescent="0.3">
      <c r="A22" s="83" t="s">
        <v>135</v>
      </c>
      <c r="B22" s="89"/>
      <c r="C22" s="89"/>
      <c r="D22" s="90">
        <f t="shared" si="2"/>
        <v>0</v>
      </c>
    </row>
    <row r="23" spans="1:13" s="83" customFormat="1" x14ac:dyDescent="0.3">
      <c r="A23" s="83" t="s">
        <v>136</v>
      </c>
      <c r="B23" s="89"/>
      <c r="C23" s="89"/>
      <c r="D23" s="90">
        <f t="shared" si="2"/>
        <v>0</v>
      </c>
    </row>
    <row r="24" spans="1:13" s="83" customFormat="1" x14ac:dyDescent="0.3"/>
    <row r="25" spans="1:13" s="83" customFormat="1" ht="21" x14ac:dyDescent="0.3">
      <c r="A25" s="56" t="s">
        <v>395</v>
      </c>
    </row>
    <row r="26" spans="1:13" s="83" customFormat="1" ht="15.6" x14ac:dyDescent="0.3">
      <c r="A26" s="94" t="s">
        <v>232</v>
      </c>
      <c r="B26" s="348" t="s">
        <v>430</v>
      </c>
      <c r="C26" s="349"/>
      <c r="D26" s="349"/>
      <c r="E26" s="349"/>
      <c r="F26" s="349"/>
      <c r="G26" s="350"/>
    </row>
    <row r="27" spans="1:13" s="83" customFormat="1" x14ac:dyDescent="0.3"/>
    <row r="28" spans="1:13" s="83" customFormat="1" ht="21.6" thickBot="1" x14ac:dyDescent="0.35">
      <c r="A28" s="95" t="s">
        <v>106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</row>
    <row r="29" spans="1:13" s="83" customFormat="1" ht="21" x14ac:dyDescent="0.3">
      <c r="A29" s="56" t="s">
        <v>129</v>
      </c>
    </row>
    <row r="30" spans="1:13" s="83" customFormat="1" x14ac:dyDescent="0.3">
      <c r="B30" s="92" t="s">
        <v>121</v>
      </c>
      <c r="C30" s="92" t="s">
        <v>105</v>
      </c>
      <c r="D30" s="92" t="s">
        <v>123</v>
      </c>
    </row>
    <row r="31" spans="1:13" s="83" customFormat="1" x14ac:dyDescent="0.3">
      <c r="A31" s="83" t="s">
        <v>128</v>
      </c>
      <c r="B31" s="97">
        <v>35</v>
      </c>
      <c r="C31" s="83" t="s">
        <v>107</v>
      </c>
      <c r="D31" s="86" t="s">
        <v>122</v>
      </c>
    </row>
    <row r="32" spans="1:13" s="83" customFormat="1" x14ac:dyDescent="0.3">
      <c r="A32" s="83" t="s">
        <v>108</v>
      </c>
      <c r="B32" s="97">
        <v>35</v>
      </c>
      <c r="C32" s="83" t="s">
        <v>109</v>
      </c>
      <c r="D32" s="86" t="s">
        <v>130</v>
      </c>
    </row>
    <row r="33" spans="1:4" s="83" customFormat="1" ht="16.2" x14ac:dyDescent="0.3">
      <c r="A33" s="83" t="s">
        <v>111</v>
      </c>
      <c r="B33" s="98">
        <f>'2. Laitostyyppi'!B16/365*B31</f>
        <v>671.23287671232868</v>
      </c>
      <c r="C33" s="83" t="s">
        <v>112</v>
      </c>
      <c r="D33" s="86"/>
    </row>
    <row r="34" spans="1:4" s="83" customFormat="1" x14ac:dyDescent="0.3">
      <c r="A34" s="83" t="s">
        <v>113</v>
      </c>
      <c r="B34" s="99">
        <f>'2. Laitostyyppi'!B17</f>
        <v>12</v>
      </c>
      <c r="C34" s="83" t="s">
        <v>9</v>
      </c>
      <c r="D34" s="86" t="s">
        <v>587</v>
      </c>
    </row>
    <row r="35" spans="1:4" s="83" customFormat="1" ht="16.2" x14ac:dyDescent="0.3">
      <c r="A35" s="83" t="s">
        <v>114</v>
      </c>
      <c r="B35" s="100">
        <f>B62*'2. Laitostyyppi'!B18/100*1000/B33</f>
        <v>2.8653061224489798</v>
      </c>
      <c r="C35" s="83" t="s">
        <v>115</v>
      </c>
    </row>
    <row r="36" spans="1:4" s="83" customFormat="1" x14ac:dyDescent="0.3"/>
    <row r="37" spans="1:4" s="83" customFormat="1" ht="21" x14ac:dyDescent="0.3">
      <c r="A37" s="56" t="s">
        <v>120</v>
      </c>
    </row>
    <row r="38" spans="1:4" s="83" customFormat="1" ht="15.6" x14ac:dyDescent="0.3">
      <c r="A38" s="94" t="s">
        <v>232</v>
      </c>
      <c r="B38" s="101" t="s">
        <v>117</v>
      </c>
      <c r="D38" s="86" t="s">
        <v>235</v>
      </c>
    </row>
    <row r="39" spans="1:4" s="83" customFormat="1" x14ac:dyDescent="0.3">
      <c r="A39" s="102"/>
      <c r="D39" s="86"/>
    </row>
    <row r="40" spans="1:4" s="83" customFormat="1" ht="16.2" x14ac:dyDescent="0.3">
      <c r="A40" s="83" t="s">
        <v>118</v>
      </c>
      <c r="B40" s="103">
        <f>B41*1000/10</f>
        <v>180900</v>
      </c>
      <c r="C40" s="83" t="s">
        <v>119</v>
      </c>
      <c r="D40" s="86" t="s">
        <v>448</v>
      </c>
    </row>
    <row r="41" spans="1:4" s="83" customFormat="1" x14ac:dyDescent="0.3">
      <c r="A41" s="83" t="s">
        <v>118</v>
      </c>
      <c r="B41" s="103">
        <f>'1. Syötteet'!C52+'2. Laitostyyppi'!B14</f>
        <v>1809</v>
      </c>
      <c r="C41" s="83" t="s">
        <v>127</v>
      </c>
      <c r="D41" s="86" t="s">
        <v>449</v>
      </c>
    </row>
    <row r="42" spans="1:4" s="83" customFormat="1" x14ac:dyDescent="0.3">
      <c r="A42" s="83" t="s">
        <v>170</v>
      </c>
      <c r="B42" s="103">
        <f>B72*100</f>
        <v>79.668487644447055</v>
      </c>
      <c r="C42" s="83" t="s">
        <v>9</v>
      </c>
      <c r="D42" s="86" t="s">
        <v>391</v>
      </c>
    </row>
    <row r="43" spans="1:4" s="83" customFormat="1" x14ac:dyDescent="0.3">
      <c r="A43" s="92" t="s">
        <v>390</v>
      </c>
      <c r="B43" s="104">
        <f>B42</f>
        <v>79.668487644447055</v>
      </c>
      <c r="C43" s="83" t="s">
        <v>9</v>
      </c>
      <c r="D43" s="86" t="s">
        <v>510</v>
      </c>
    </row>
    <row r="44" spans="1:4" s="83" customFormat="1" x14ac:dyDescent="0.3">
      <c r="A44" s="102"/>
      <c r="B44" s="105"/>
      <c r="D44" s="106"/>
    </row>
    <row r="45" spans="1:4" s="83" customFormat="1" ht="18" x14ac:dyDescent="0.3">
      <c r="A45" s="107" t="s">
        <v>588</v>
      </c>
      <c r="B45" s="108">
        <f>B41*B43/100</f>
        <v>1441.2029414880474</v>
      </c>
      <c r="C45" s="107" t="s">
        <v>127</v>
      </c>
      <c r="D45" s="106"/>
    </row>
    <row r="46" spans="1:4" s="83" customFormat="1" x14ac:dyDescent="0.3"/>
    <row r="47" spans="1:4" s="83" customFormat="1" ht="21" x14ac:dyDescent="0.3">
      <c r="A47" s="56" t="s">
        <v>388</v>
      </c>
    </row>
    <row r="48" spans="1:4" s="83" customFormat="1" x14ac:dyDescent="0.3"/>
    <row r="49" spans="1:5" s="83" customFormat="1" ht="16.2" x14ac:dyDescent="0.3">
      <c r="A49" s="83" t="s">
        <v>392</v>
      </c>
      <c r="B49" s="97">
        <v>0</v>
      </c>
      <c r="C49" s="83" t="s">
        <v>295</v>
      </c>
      <c r="D49" s="86" t="s">
        <v>476</v>
      </c>
    </row>
    <row r="50" spans="1:5" s="83" customFormat="1" ht="16.2" x14ac:dyDescent="0.3">
      <c r="A50" s="83" t="s">
        <v>411</v>
      </c>
      <c r="B50" s="109">
        <f>0.00274*B49</f>
        <v>0</v>
      </c>
      <c r="C50" s="83" t="s">
        <v>112</v>
      </c>
      <c r="D50" s="86" t="s">
        <v>477</v>
      </c>
    </row>
    <row r="51" spans="1:5" s="83" customFormat="1" x14ac:dyDescent="0.3"/>
    <row r="52" spans="1:5" s="83" customFormat="1" ht="21" x14ac:dyDescent="0.3">
      <c r="A52" s="56" t="s">
        <v>597</v>
      </c>
    </row>
    <row r="53" spans="1:5" s="83" customFormat="1" x14ac:dyDescent="0.3">
      <c r="A53" s="83" t="s">
        <v>474</v>
      </c>
      <c r="B53" s="110">
        <v>4</v>
      </c>
      <c r="C53" s="111" t="s">
        <v>11</v>
      </c>
      <c r="D53" s="86" t="s">
        <v>596</v>
      </c>
    </row>
    <row r="54" spans="1:5" s="83" customFormat="1" x14ac:dyDescent="0.3">
      <c r="A54" s="83" t="s">
        <v>475</v>
      </c>
      <c r="B54" s="110">
        <v>5</v>
      </c>
      <c r="C54" s="111" t="s">
        <v>11</v>
      </c>
      <c r="D54" s="86" t="s">
        <v>596</v>
      </c>
    </row>
    <row r="55" spans="1:5" s="83" customFormat="1" x14ac:dyDescent="0.3"/>
    <row r="56" spans="1:5" s="112" customFormat="1" x14ac:dyDescent="0.3"/>
    <row r="57" spans="1:5" s="112" customFormat="1" x14ac:dyDescent="0.3"/>
    <row r="58" spans="1:5" s="112" customFormat="1" x14ac:dyDescent="0.3"/>
    <row r="59" spans="1:5" s="112" customFormat="1" x14ac:dyDescent="0.3"/>
    <row r="60" spans="1:5" s="112" customFormat="1" x14ac:dyDescent="0.3"/>
    <row r="61" spans="1:5" s="113" customFormat="1" x14ac:dyDescent="0.3">
      <c r="A61" s="116" t="s">
        <v>184</v>
      </c>
      <c r="B61" s="53"/>
      <c r="C61" s="115"/>
      <c r="D61" s="115"/>
      <c r="E61" s="115"/>
    </row>
    <row r="62" spans="1:5" s="113" customFormat="1" x14ac:dyDescent="0.3">
      <c r="A62" s="116" t="s">
        <v>185</v>
      </c>
      <c r="B62" s="114">
        <f>'2. Laitostyyppi'!B16/365</f>
        <v>19.17808219178082</v>
      </c>
      <c r="C62" s="115" t="s">
        <v>190</v>
      </c>
      <c r="D62" s="115"/>
      <c r="E62" s="115"/>
    </row>
    <row r="63" spans="1:5" s="113" customFormat="1" x14ac:dyDescent="0.3">
      <c r="A63" s="116" t="s">
        <v>186</v>
      </c>
      <c r="B63" s="119">
        <f>'2. Laitostyyppi'!B18</f>
        <v>10.028571428571428</v>
      </c>
      <c r="C63" s="115" t="s">
        <v>190</v>
      </c>
      <c r="D63" s="115"/>
      <c r="E63" s="115"/>
    </row>
    <row r="64" spans="1:5" s="113" customFormat="1" ht="16.2" x14ac:dyDescent="0.3">
      <c r="A64" s="120" t="s">
        <v>616</v>
      </c>
      <c r="B64" s="121">
        <f>B65*B66*(1-B68/(B69*B70-1+B68))</f>
        <v>0.54785905299332405</v>
      </c>
      <c r="C64" s="115" t="s">
        <v>191</v>
      </c>
      <c r="D64" s="115"/>
      <c r="E64" s="115"/>
    </row>
    <row r="65" spans="1:5" s="113" customFormat="1" ht="16.2" x14ac:dyDescent="0.3">
      <c r="A65" s="122" t="s">
        <v>617</v>
      </c>
      <c r="B65" s="123">
        <v>0.24</v>
      </c>
      <c r="C65" s="115" t="s">
        <v>190</v>
      </c>
      <c r="D65" s="115"/>
      <c r="E65" s="115"/>
    </row>
    <row r="66" spans="1:5" s="113" customFormat="1" x14ac:dyDescent="0.3">
      <c r="A66" s="122" t="s">
        <v>618</v>
      </c>
      <c r="B66" s="119">
        <f>B62*B63/100*1000/B33</f>
        <v>2.8653061224489798</v>
      </c>
      <c r="C66" s="115" t="s">
        <v>191</v>
      </c>
      <c r="D66" s="115"/>
      <c r="E66" s="115"/>
    </row>
    <row r="67" spans="1:5" s="113" customFormat="1" ht="16.2" x14ac:dyDescent="0.3">
      <c r="A67" s="122" t="s">
        <v>619</v>
      </c>
      <c r="B67" s="114">
        <f>B63*10</f>
        <v>100.28571428571428</v>
      </c>
      <c r="C67" s="115" t="s">
        <v>191</v>
      </c>
      <c r="D67" s="115"/>
      <c r="E67" s="115"/>
    </row>
    <row r="68" spans="1:5" s="113" customFormat="1" ht="15.6" x14ac:dyDescent="0.3">
      <c r="A68" s="122" t="s">
        <v>620</v>
      </c>
      <c r="B68" s="124">
        <f>2+(0.0016)*EXP(0.06*B67)</f>
        <v>2.6566469363129483</v>
      </c>
      <c r="C68" s="115" t="s">
        <v>621</v>
      </c>
      <c r="D68" s="115"/>
      <c r="E68" s="115"/>
    </row>
    <row r="69" spans="1:5" s="113" customFormat="1" ht="15.6" x14ac:dyDescent="0.3">
      <c r="A69" s="122" t="s">
        <v>622</v>
      </c>
      <c r="B69" s="123">
        <f>0.013*B32-0.129</f>
        <v>0.32599999999999996</v>
      </c>
      <c r="C69" s="115" t="s">
        <v>192</v>
      </c>
      <c r="D69" s="115"/>
      <c r="E69" s="115"/>
    </row>
    <row r="70" spans="1:5" s="113" customFormat="1" x14ac:dyDescent="0.3">
      <c r="A70" s="125" t="s">
        <v>187</v>
      </c>
      <c r="B70" s="114">
        <f>B31</f>
        <v>35</v>
      </c>
      <c r="C70" s="115" t="s">
        <v>189</v>
      </c>
      <c r="D70" s="115"/>
      <c r="E70" s="115"/>
    </row>
    <row r="71" spans="1:5" s="113" customFormat="1" ht="16.8" x14ac:dyDescent="0.35">
      <c r="A71" s="53" t="s">
        <v>623</v>
      </c>
      <c r="B71" s="114">
        <f>B64*B33</f>
        <v>367.74100817360102</v>
      </c>
      <c r="C71" s="115" t="s">
        <v>389</v>
      </c>
      <c r="D71" s="115"/>
      <c r="E71" s="115"/>
    </row>
    <row r="72" spans="1:5" s="113" customFormat="1" x14ac:dyDescent="0.3">
      <c r="A72" s="53" t="s">
        <v>624</v>
      </c>
      <c r="B72" s="126">
        <f>B71/B73</f>
        <v>0.7966848764444705</v>
      </c>
      <c r="C72" s="115"/>
      <c r="D72" s="115"/>
      <c r="E72" s="115"/>
    </row>
    <row r="73" spans="1:5" s="115" customFormat="1" x14ac:dyDescent="0.3">
      <c r="A73" s="54" t="s">
        <v>188</v>
      </c>
      <c r="B73" s="114">
        <f>B65*(B62*B63/100*1000)</f>
        <v>461.58904109589037</v>
      </c>
    </row>
    <row r="74" spans="1:5" s="115" customFormat="1" x14ac:dyDescent="0.3"/>
    <row r="75" spans="1:5" s="115" customFormat="1" x14ac:dyDescent="0.3">
      <c r="A75" s="116" t="s">
        <v>569</v>
      </c>
    </row>
    <row r="76" spans="1:5" s="115" customFormat="1" x14ac:dyDescent="0.3"/>
    <row r="77" spans="1:5" s="115" customFormat="1" x14ac:dyDescent="0.3">
      <c r="A77" s="115" t="s">
        <v>570</v>
      </c>
      <c r="B77" s="115">
        <v>21</v>
      </c>
      <c r="C77" s="115" t="s">
        <v>107</v>
      </c>
    </row>
    <row r="78" spans="1:5" s="115" customFormat="1" x14ac:dyDescent="0.3">
      <c r="B78" s="115">
        <v>30</v>
      </c>
      <c r="C78" s="115" t="s">
        <v>584</v>
      </c>
    </row>
    <row r="79" spans="1:5" s="115" customFormat="1" ht="16.2" x14ac:dyDescent="0.3">
      <c r="A79" s="115" t="s">
        <v>131</v>
      </c>
      <c r="C79" s="115" t="s">
        <v>585</v>
      </c>
    </row>
    <row r="80" spans="1:5" s="115" customFormat="1" x14ac:dyDescent="0.3"/>
    <row r="81" spans="2:3" x14ac:dyDescent="0.3">
      <c r="B81" s="117"/>
      <c r="C81" s="117"/>
    </row>
  </sheetData>
  <sheetProtection algorithmName="SHA-512" hashValue="Gkeh8LYsm7HojUMLZwP2hP0Dd8xCHs+yPzefzuDPUqggKgjHMRU4NPQQzqwScsuE+tP+B8UypzOjUUgbWgwmQA==" saltValue="HT/nuGkCJhC0iAVqE7Exvg==" spinCount="100000" sheet="1" objects="1" scenarios="1"/>
  <protectedRanges>
    <protectedRange sqref="B53:B54" name="Alue10"/>
    <protectedRange sqref="B49" name="Alue9"/>
    <protectedRange sqref="B43" name="Alue8"/>
    <protectedRange sqref="B38" name="Alue7"/>
    <protectedRange sqref="B31:B32" name="Alue6"/>
    <protectedRange sqref="B26" name="Alue5"/>
    <protectedRange sqref="B21:C23" name="Alue4"/>
    <protectedRange sqref="B17:C19" name="Alue3"/>
    <protectedRange sqref="E8:F10" name="Alue2"/>
    <protectedRange sqref="B8:C10" name="Alue1"/>
  </protectedRanges>
  <mergeCells count="1">
    <mergeCell ref="B26:G26"/>
  </mergeCells>
  <phoneticPr fontId="4" type="noConversion"/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0DAC0CE-9F3A-400E-8601-30E32AE2CC3A}">
          <x14:formula1>
            <xm:f>'1. Syötteet'!$B$63:$B$64</xm:f>
          </x14:formula1>
          <xm:sqref>E8:F10</xm:sqref>
        </x14:dataValidation>
        <x14:dataValidation type="list" allowBlank="1" showInputMessage="1" showErrorMessage="1" xr:uid="{87570CE0-2491-414C-B980-9BD892F84D3E}">
          <x14:formula1>
            <xm:f>'1. Syötteet'!$B$67:$B$69</xm:f>
          </x14:formula1>
          <xm:sqref>B38:B39</xm:sqref>
        </x14:dataValidation>
        <x14:dataValidation type="list" allowBlank="1" showInputMessage="1" showErrorMessage="1" xr:uid="{8EF972B9-9111-41E8-BA42-F9C1764EE593}">
          <x14:formula1>
            <xm:f>'1. Syötteet'!$B$72:$B$74</xm:f>
          </x14:formula1>
          <xm:sqref>B26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0A25F-B80C-43E0-96E5-B3DD29299C86}">
  <dimension ref="A1:Q147"/>
  <sheetViews>
    <sheetView workbookViewId="0">
      <selection activeCell="C22" sqref="C22"/>
    </sheetView>
  </sheetViews>
  <sheetFormatPr defaultRowHeight="14.4" x14ac:dyDescent="0.3"/>
  <cols>
    <col min="1" max="1" width="48.21875" style="194" customWidth="1"/>
    <col min="2" max="2" width="10.77734375" style="203" customWidth="1"/>
    <col min="3" max="4" width="8.88671875" style="194"/>
    <col min="5" max="5" width="10.88671875" style="194" customWidth="1"/>
    <col min="6" max="16384" width="8.88671875" style="194"/>
  </cols>
  <sheetData>
    <row r="1" spans="1:10" s="59" customFormat="1" ht="24" thickBot="1" x14ac:dyDescent="0.5">
      <c r="A1" s="13" t="s">
        <v>99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59" customFormat="1" ht="21.6" thickTop="1" x14ac:dyDescent="0.4">
      <c r="A2" s="127" t="s">
        <v>100</v>
      </c>
      <c r="B2" s="128"/>
    </row>
    <row r="3" spans="1:10" s="59" customFormat="1" x14ac:dyDescent="0.3">
      <c r="A3" s="59" t="s">
        <v>540</v>
      </c>
      <c r="B3" s="129">
        <f>'3. Tekniikka'!B41*('3. Tekniikka'!B42/100)</f>
        <v>1441.2029414880471</v>
      </c>
      <c r="C3" s="62" t="s">
        <v>127</v>
      </c>
      <c r="D3" s="63" t="s">
        <v>228</v>
      </c>
      <c r="I3" s="63"/>
    </row>
    <row r="4" spans="1:10" s="59" customFormat="1" x14ac:dyDescent="0.3">
      <c r="A4" s="59" t="s">
        <v>541</v>
      </c>
      <c r="B4" s="129">
        <f>B3*1000/365/24</f>
        <v>164.52088373151221</v>
      </c>
      <c r="C4" s="62" t="s">
        <v>104</v>
      </c>
    </row>
    <row r="5" spans="1:10" s="59" customFormat="1" ht="16.2" x14ac:dyDescent="0.3">
      <c r="A5" s="59" t="s">
        <v>542</v>
      </c>
      <c r="B5" s="129">
        <f>B3*1000/10/('1. Syötteet'!L47/100)</f>
        <v>241100.11755230752</v>
      </c>
      <c r="C5" s="62" t="s">
        <v>132</v>
      </c>
      <c r="D5" s="63" t="s">
        <v>571</v>
      </c>
      <c r="I5" s="63"/>
    </row>
    <row r="6" spans="1:10" s="59" customFormat="1" ht="16.2" x14ac:dyDescent="0.3">
      <c r="A6" s="59" t="s">
        <v>564</v>
      </c>
      <c r="B6" s="129">
        <f>B5*'1. Syötteet'!L47/100</f>
        <v>144120.29414880471</v>
      </c>
      <c r="C6" s="62" t="s">
        <v>132</v>
      </c>
      <c r="D6" s="130"/>
      <c r="I6" s="63"/>
    </row>
    <row r="7" spans="1:10" s="59" customFormat="1" x14ac:dyDescent="0.3">
      <c r="B7" s="131"/>
      <c r="C7" s="62"/>
      <c r="D7" s="130"/>
      <c r="I7" s="63"/>
    </row>
    <row r="8" spans="1:10" s="59" customFormat="1" x14ac:dyDescent="0.3">
      <c r="A8" s="132" t="s">
        <v>101</v>
      </c>
      <c r="B8" s="128"/>
    </row>
    <row r="9" spans="1:10" s="59" customFormat="1" x14ac:dyDescent="0.3">
      <c r="A9" s="133" t="s">
        <v>590</v>
      </c>
      <c r="B9" s="128"/>
    </row>
    <row r="10" spans="1:10" s="59" customFormat="1" x14ac:dyDescent="0.3">
      <c r="B10" s="128"/>
    </row>
    <row r="11" spans="1:10" s="135" customFormat="1" ht="13.8" x14ac:dyDescent="0.3">
      <c r="A11" s="134" t="s">
        <v>102</v>
      </c>
      <c r="B11" s="134" t="s">
        <v>141</v>
      </c>
      <c r="C11" s="134"/>
      <c r="D11" s="134" t="s">
        <v>142</v>
      </c>
      <c r="E11" s="134"/>
      <c r="F11" s="134" t="s">
        <v>224</v>
      </c>
      <c r="G11" s="134"/>
      <c r="H11" s="134" t="s">
        <v>556</v>
      </c>
      <c r="I11" s="134"/>
      <c r="J11" s="134"/>
    </row>
    <row r="12" spans="1:10" s="59" customFormat="1" x14ac:dyDescent="0.3">
      <c r="A12" s="62" t="s">
        <v>589</v>
      </c>
      <c r="B12" s="379">
        <f>10000*D35/(B3*H12)</f>
        <v>17.747963223174203</v>
      </c>
      <c r="C12" s="62" t="s">
        <v>9</v>
      </c>
      <c r="D12" s="136">
        <f>B3*(B12/100)*H12/100</f>
        <v>217.41654282261294</v>
      </c>
      <c r="E12" s="59" t="s">
        <v>127</v>
      </c>
      <c r="F12" s="137">
        <f>D12*1000/365/24</f>
        <v>24.819240048243486</v>
      </c>
      <c r="G12" s="59" t="s">
        <v>104</v>
      </c>
      <c r="H12" s="138">
        <v>85</v>
      </c>
      <c r="I12" s="59" t="s">
        <v>9</v>
      </c>
      <c r="J12" s="63"/>
    </row>
    <row r="13" spans="1:10" s="59" customFormat="1" x14ac:dyDescent="0.3">
      <c r="A13" s="62" t="s">
        <v>138</v>
      </c>
      <c r="B13" s="379">
        <f>100-B12</f>
        <v>82.252036776825804</v>
      </c>
      <c r="C13" s="62" t="s">
        <v>9</v>
      </c>
      <c r="D13" s="139"/>
      <c r="H13" s="140"/>
    </row>
    <row r="14" spans="1:10" s="59" customFormat="1" x14ac:dyDescent="0.3">
      <c r="A14" s="59" t="s">
        <v>140</v>
      </c>
      <c r="B14" s="377"/>
      <c r="D14" s="136">
        <f>B3*(B13/100)*(H14/100)</f>
        <v>734.95963954609522</v>
      </c>
      <c r="E14" s="59" t="s">
        <v>127</v>
      </c>
      <c r="F14" s="137">
        <f>D14*1000/365/24</f>
        <v>83.899502231289404</v>
      </c>
      <c r="G14" s="59" t="s">
        <v>104</v>
      </c>
      <c r="H14" s="138">
        <v>62</v>
      </c>
      <c r="I14" s="59" t="s">
        <v>9</v>
      </c>
      <c r="J14" s="63"/>
    </row>
    <row r="15" spans="1:10" s="141" customFormat="1" x14ac:dyDescent="0.3">
      <c r="A15" s="141" t="s">
        <v>139</v>
      </c>
      <c r="B15" s="378"/>
      <c r="D15" s="136">
        <f>B3*(B13/100)*(H15/100)</f>
        <v>367.47981977304761</v>
      </c>
      <c r="E15" s="141" t="s">
        <v>127</v>
      </c>
      <c r="F15" s="143">
        <f t="shared" ref="F15:F19" si="0">D15*1000/365/24</f>
        <v>41.949751115644702</v>
      </c>
      <c r="G15" s="141" t="s">
        <v>104</v>
      </c>
      <c r="H15" s="144">
        <v>31</v>
      </c>
      <c r="I15" s="141" t="s">
        <v>9</v>
      </c>
      <c r="J15" s="145"/>
    </row>
    <row r="16" spans="1:10" s="141" customFormat="1" x14ac:dyDescent="0.3">
      <c r="A16" s="146" t="s">
        <v>143</v>
      </c>
      <c r="B16" s="379">
        <v>0</v>
      </c>
      <c r="C16" s="146" t="s">
        <v>9</v>
      </c>
      <c r="D16" s="147">
        <f>B3*B16/100*H16/100</f>
        <v>0</v>
      </c>
      <c r="E16" s="148" t="s">
        <v>127</v>
      </c>
      <c r="F16" s="149">
        <f t="shared" si="0"/>
        <v>0</v>
      </c>
      <c r="G16" s="148" t="s">
        <v>104</v>
      </c>
      <c r="H16" s="138">
        <v>98</v>
      </c>
      <c r="I16" s="148" t="s">
        <v>9</v>
      </c>
      <c r="J16" s="150"/>
    </row>
    <row r="17" spans="1:17" s="141" customFormat="1" x14ac:dyDescent="0.3">
      <c r="A17" s="151" t="s">
        <v>144</v>
      </c>
      <c r="B17" s="379">
        <v>0</v>
      </c>
      <c r="C17" s="151" t="s">
        <v>9</v>
      </c>
      <c r="D17" s="152">
        <f>B3*B17/100*H16/100</f>
        <v>0</v>
      </c>
      <c r="E17" s="153" t="s">
        <v>127</v>
      </c>
      <c r="F17" s="154">
        <f t="shared" si="0"/>
        <v>0</v>
      </c>
      <c r="G17" s="153" t="s">
        <v>104</v>
      </c>
      <c r="H17" s="155">
        <f>H16</f>
        <v>98</v>
      </c>
      <c r="I17" s="153" t="s">
        <v>9</v>
      </c>
      <c r="J17" s="156"/>
    </row>
    <row r="18" spans="1:17" s="59" customFormat="1" x14ac:dyDescent="0.3">
      <c r="A18" s="59" t="s">
        <v>225</v>
      </c>
      <c r="B18" s="379">
        <v>0</v>
      </c>
      <c r="C18" s="62" t="s">
        <v>9</v>
      </c>
      <c r="D18" s="136">
        <f>B3*B18/100</f>
        <v>0</v>
      </c>
      <c r="E18" s="59" t="s">
        <v>127</v>
      </c>
      <c r="F18" s="137">
        <f t="shared" si="0"/>
        <v>0</v>
      </c>
      <c r="G18" s="141" t="s">
        <v>104</v>
      </c>
    </row>
    <row r="19" spans="1:17" s="141" customFormat="1" x14ac:dyDescent="0.3">
      <c r="A19" s="153" t="s">
        <v>226</v>
      </c>
      <c r="B19" s="379">
        <v>0</v>
      </c>
      <c r="C19" s="151" t="s">
        <v>9</v>
      </c>
      <c r="D19" s="152">
        <f>B3*B19/100</f>
        <v>0</v>
      </c>
      <c r="E19" s="153" t="s">
        <v>127</v>
      </c>
      <c r="F19" s="154">
        <f t="shared" si="0"/>
        <v>0</v>
      </c>
      <c r="G19" s="153" t="s">
        <v>104</v>
      </c>
      <c r="H19" s="153"/>
      <c r="I19" s="153"/>
      <c r="J19" s="153"/>
    </row>
    <row r="20" spans="1:17" s="59" customFormat="1" ht="18" x14ac:dyDescent="0.35">
      <c r="A20" s="157" t="s">
        <v>227</v>
      </c>
      <c r="B20" s="380">
        <f>SUM(B12:B19)</f>
        <v>100</v>
      </c>
      <c r="C20" s="157" t="s">
        <v>9</v>
      </c>
      <c r="D20" s="158" t="str">
        <f>IF(B20=100," ","Virheilmoitus: Jakaumien summa ei ole 100 %. Lisää tai poista Jakauma-lukemia energiantuotantomuodoille.")</f>
        <v xml:space="preserve"> </v>
      </c>
    </row>
    <row r="21" spans="1:17" s="59" customFormat="1" x14ac:dyDescent="0.3"/>
    <row r="22" spans="1:17" s="59" customFormat="1" ht="23.4" x14ac:dyDescent="0.45">
      <c r="A22" s="159" t="s">
        <v>393</v>
      </c>
      <c r="B22" s="128"/>
    </row>
    <row r="23" spans="1:17" s="163" customFormat="1" ht="13.8" x14ac:dyDescent="0.3">
      <c r="A23" s="160"/>
      <c r="B23" s="161"/>
      <c r="C23" s="162"/>
      <c r="G23" s="164"/>
      <c r="J23" s="165"/>
    </row>
    <row r="24" spans="1:17" s="167" customFormat="1" ht="13.8" x14ac:dyDescent="0.3">
      <c r="A24" s="134" t="s">
        <v>99</v>
      </c>
      <c r="B24" s="134" t="s">
        <v>543</v>
      </c>
      <c r="C24" s="134"/>
      <c r="D24" s="134" t="s">
        <v>545</v>
      </c>
      <c r="E24" s="134"/>
      <c r="F24" s="134" t="s">
        <v>547</v>
      </c>
      <c r="G24" s="134"/>
      <c r="H24" s="135"/>
      <c r="I24" s="166"/>
      <c r="K24" s="135"/>
      <c r="L24" s="135"/>
      <c r="M24" s="135"/>
      <c r="N24" s="135"/>
    </row>
    <row r="25" spans="1:17" s="167" customFormat="1" ht="13.8" x14ac:dyDescent="0.3">
      <c r="A25" s="134"/>
      <c r="B25" s="134" t="s">
        <v>544</v>
      </c>
      <c r="C25" s="134"/>
      <c r="D25" s="134" t="s">
        <v>544</v>
      </c>
      <c r="E25" s="134"/>
      <c r="F25" s="134" t="s">
        <v>546</v>
      </c>
      <c r="G25" s="134"/>
      <c r="H25" s="135"/>
      <c r="I25" s="166"/>
      <c r="K25" s="135"/>
      <c r="L25" s="135"/>
      <c r="M25" s="135"/>
      <c r="N25" s="135"/>
    </row>
    <row r="26" spans="1:17" s="167" customFormat="1" ht="13.8" x14ac:dyDescent="0.3">
      <c r="A26" s="134"/>
      <c r="B26" s="134" t="s">
        <v>451</v>
      </c>
      <c r="C26" s="134"/>
      <c r="D26" s="134" t="s">
        <v>451</v>
      </c>
      <c r="E26" s="134"/>
      <c r="F26" s="134" t="s">
        <v>127</v>
      </c>
      <c r="G26" s="134"/>
      <c r="H26" s="135"/>
      <c r="I26" s="166"/>
      <c r="K26" s="135"/>
      <c r="L26" s="135"/>
      <c r="M26" s="135"/>
      <c r="N26" s="135"/>
    </row>
    <row r="27" spans="1:17" s="163" customFormat="1" ht="13.8" x14ac:dyDescent="0.3">
      <c r="A27" s="168" t="s">
        <v>7</v>
      </c>
      <c r="B27" s="162">
        <f>B146</f>
        <v>217.41654282261291</v>
      </c>
      <c r="D27" s="169">
        <f>B27</f>
        <v>217.41654282261291</v>
      </c>
      <c r="F27" s="170">
        <v>800</v>
      </c>
    </row>
    <row r="28" spans="1:17" s="163" customFormat="1" ht="13.8" x14ac:dyDescent="0.3">
      <c r="A28" s="171" t="s">
        <v>441</v>
      </c>
      <c r="B28" s="162">
        <f>B116/1000</f>
        <v>74.753194139507343</v>
      </c>
      <c r="D28" s="169">
        <f>B28</f>
        <v>74.753194139507343</v>
      </c>
      <c r="F28" s="170">
        <v>400</v>
      </c>
    </row>
    <row r="29" spans="1:17" s="163" customFormat="1" ht="13.8" x14ac:dyDescent="0.3">
      <c r="A29" s="160" t="s">
        <v>548</v>
      </c>
      <c r="B29" s="162" t="s">
        <v>18</v>
      </c>
      <c r="D29" s="162" t="s">
        <v>18</v>
      </c>
      <c r="F29" s="170">
        <v>0</v>
      </c>
    </row>
    <row r="30" spans="1:17" s="163" customFormat="1" ht="13.8" x14ac:dyDescent="0.3">
      <c r="A30" s="160" t="s">
        <v>549</v>
      </c>
      <c r="B30" s="162" t="s">
        <v>18</v>
      </c>
      <c r="D30" s="162" t="s">
        <v>18</v>
      </c>
      <c r="F30" s="170">
        <v>0</v>
      </c>
      <c r="G30" s="164"/>
      <c r="J30" s="165"/>
    </row>
    <row r="31" spans="1:17" s="59" customFormat="1" x14ac:dyDescent="0.3">
      <c r="B31" s="128"/>
    </row>
    <row r="32" spans="1:17" s="167" customFormat="1" ht="13.8" x14ac:dyDescent="0.3">
      <c r="A32" s="134" t="s">
        <v>446</v>
      </c>
      <c r="B32" s="134" t="s">
        <v>527</v>
      </c>
      <c r="C32" s="172"/>
      <c r="D32" s="134" t="s">
        <v>527</v>
      </c>
      <c r="E32" s="172"/>
      <c r="F32" s="134" t="s">
        <v>528</v>
      </c>
      <c r="G32" s="172"/>
      <c r="H32" s="134" t="s">
        <v>530</v>
      </c>
      <c r="I32" s="172"/>
      <c r="J32" s="134" t="s">
        <v>532</v>
      </c>
      <c r="K32" s="134"/>
      <c r="L32" s="134" t="s">
        <v>532</v>
      </c>
      <c r="M32" s="134"/>
      <c r="N32" s="134" t="s">
        <v>538</v>
      </c>
      <c r="O32" s="134"/>
      <c r="P32" s="134" t="s">
        <v>535</v>
      </c>
      <c r="Q32" s="172"/>
    </row>
    <row r="33" spans="1:17" s="167" customFormat="1" ht="13.8" x14ac:dyDescent="0.3">
      <c r="A33" s="134"/>
      <c r="B33" s="134" t="s">
        <v>531</v>
      </c>
      <c r="C33" s="172"/>
      <c r="D33" s="134" t="s">
        <v>526</v>
      </c>
      <c r="E33" s="172"/>
      <c r="F33" s="134" t="s">
        <v>534</v>
      </c>
      <c r="G33" s="172"/>
      <c r="H33" s="134" t="s">
        <v>529</v>
      </c>
      <c r="I33" s="172"/>
      <c r="J33" s="134" t="s">
        <v>539</v>
      </c>
      <c r="K33" s="134"/>
      <c r="L33" s="134" t="s">
        <v>533</v>
      </c>
      <c r="M33" s="134"/>
      <c r="N33" s="134" t="s">
        <v>537</v>
      </c>
      <c r="O33" s="134"/>
      <c r="P33" s="134" t="s">
        <v>536</v>
      </c>
      <c r="Q33" s="172"/>
    </row>
    <row r="34" spans="1:17" s="167" customFormat="1" ht="13.8" x14ac:dyDescent="0.3">
      <c r="A34" s="134"/>
      <c r="B34" s="134" t="s">
        <v>451</v>
      </c>
      <c r="C34" s="172"/>
      <c r="D34" s="134" t="s">
        <v>451</v>
      </c>
      <c r="E34" s="172"/>
      <c r="F34" s="134" t="s">
        <v>451</v>
      </c>
      <c r="G34" s="172"/>
      <c r="H34" s="134" t="s">
        <v>451</v>
      </c>
      <c r="I34" s="172"/>
      <c r="J34" s="134" t="s">
        <v>451</v>
      </c>
      <c r="K34" s="134"/>
      <c r="L34" s="134" t="s">
        <v>450</v>
      </c>
      <c r="M34" s="134"/>
      <c r="N34" s="134" t="s">
        <v>451</v>
      </c>
      <c r="O34" s="134"/>
      <c r="P34" s="134" t="s">
        <v>451</v>
      </c>
      <c r="Q34" s="172"/>
    </row>
    <row r="35" spans="1:17" s="163" customFormat="1" ht="13.8" x14ac:dyDescent="0.3">
      <c r="A35" s="173" t="s">
        <v>7</v>
      </c>
      <c r="B35" s="174">
        <f>D12+D14</f>
        <v>952.37618236870821</v>
      </c>
      <c r="C35" s="175"/>
      <c r="D35" s="174">
        <f>D27</f>
        <v>217.41654282261291</v>
      </c>
      <c r="E35" s="175"/>
      <c r="F35" s="176">
        <f>B35-D35</f>
        <v>734.95963954609533</v>
      </c>
      <c r="G35" s="175"/>
      <c r="H35" s="177">
        <f>IF(F35&lt;F27,F35,F27)</f>
        <v>734.95963954609533</v>
      </c>
      <c r="I35" s="175"/>
      <c r="J35" s="178">
        <f>B35-D35-H35</f>
        <v>0</v>
      </c>
      <c r="K35" s="175"/>
      <c r="L35" s="179">
        <v>0</v>
      </c>
      <c r="M35" s="175"/>
      <c r="N35" s="174">
        <f>J35*L35/100</f>
        <v>0</v>
      </c>
      <c r="O35" s="175"/>
      <c r="P35" s="178">
        <f>B35-D35-H35-N35</f>
        <v>0</v>
      </c>
      <c r="Q35" s="175"/>
    </row>
    <row r="36" spans="1:17" s="163" customFormat="1" ht="13.8" x14ac:dyDescent="0.3">
      <c r="A36" s="173" t="s">
        <v>441</v>
      </c>
      <c r="B36" s="174">
        <f>D15</f>
        <v>367.47981977304761</v>
      </c>
      <c r="C36" s="175"/>
      <c r="D36" s="174">
        <f>D28</f>
        <v>74.753194139507343</v>
      </c>
      <c r="E36" s="175"/>
      <c r="F36" s="176">
        <f>B36-D36</f>
        <v>292.72662563354027</v>
      </c>
      <c r="G36" s="175"/>
      <c r="H36" s="177">
        <f>IF(F36&lt;F28,F36,F28)</f>
        <v>292.72662563354027</v>
      </c>
      <c r="I36" s="175"/>
      <c r="J36" s="178">
        <f>B36-D36-H36</f>
        <v>0</v>
      </c>
      <c r="K36" s="175"/>
      <c r="L36" s="179">
        <v>100</v>
      </c>
      <c r="M36" s="175"/>
      <c r="N36" s="174">
        <f>J36*L36/100</f>
        <v>0</v>
      </c>
      <c r="O36" s="175"/>
      <c r="P36" s="178">
        <f t="shared" ref="P36" si="1">B36-D36-H36-N36</f>
        <v>0</v>
      </c>
      <c r="Q36" s="175"/>
    </row>
    <row r="37" spans="1:17" s="163" customFormat="1" ht="13.8" x14ac:dyDescent="0.3">
      <c r="A37" s="160" t="s">
        <v>565</v>
      </c>
      <c r="B37" s="174">
        <f>D16</f>
        <v>0</v>
      </c>
      <c r="C37" s="175"/>
      <c r="D37" s="173" t="s">
        <v>447</v>
      </c>
      <c r="E37" s="175"/>
      <c r="F37" s="180">
        <f>B37</f>
        <v>0</v>
      </c>
      <c r="G37" s="175"/>
      <c r="H37" s="177">
        <f>IF(F37&lt;F29,F37,F29)</f>
        <v>0</v>
      </c>
      <c r="I37" s="175"/>
      <c r="J37" s="178">
        <f>B37-H37</f>
        <v>0</v>
      </c>
      <c r="K37" s="175"/>
      <c r="L37" s="179">
        <v>100</v>
      </c>
      <c r="M37" s="175"/>
      <c r="N37" s="174">
        <f>J37*L37/100</f>
        <v>0</v>
      </c>
      <c r="O37" s="175"/>
      <c r="P37" s="178">
        <f>B37-H37-N37</f>
        <v>0</v>
      </c>
      <c r="Q37" s="175"/>
    </row>
    <row r="38" spans="1:17" s="163" customFormat="1" ht="13.8" x14ac:dyDescent="0.3">
      <c r="A38" s="160" t="s">
        <v>566</v>
      </c>
      <c r="B38" s="174">
        <f>D17</f>
        <v>0</v>
      </c>
      <c r="C38" s="175"/>
      <c r="D38" s="181" t="s">
        <v>447</v>
      </c>
      <c r="E38" s="175"/>
      <c r="F38" s="180">
        <f>B38</f>
        <v>0</v>
      </c>
      <c r="G38" s="175"/>
      <c r="H38" s="177">
        <f>F29</f>
        <v>0</v>
      </c>
      <c r="I38" s="175"/>
      <c r="J38" s="178">
        <f>B38-H38</f>
        <v>0</v>
      </c>
      <c r="K38" s="175"/>
      <c r="L38" s="182">
        <v>100</v>
      </c>
      <c r="M38" s="175"/>
      <c r="N38" s="174">
        <f t="shared" ref="N38:N39" si="2">J38*L38/100</f>
        <v>0</v>
      </c>
      <c r="O38" s="175"/>
      <c r="P38" s="178">
        <f>B38-H38-N38</f>
        <v>0</v>
      </c>
      <c r="Q38" s="175"/>
    </row>
    <row r="39" spans="1:17" s="163" customFormat="1" ht="13.8" x14ac:dyDescent="0.3">
      <c r="A39" s="183" t="s">
        <v>225</v>
      </c>
      <c r="B39" s="184">
        <f>D18</f>
        <v>0</v>
      </c>
      <c r="C39" s="185"/>
      <c r="D39" s="183" t="s">
        <v>447</v>
      </c>
      <c r="E39" s="185"/>
      <c r="F39" s="183" t="s">
        <v>447</v>
      </c>
      <c r="G39" s="185"/>
      <c r="H39" s="183" t="s">
        <v>447</v>
      </c>
      <c r="I39" s="185"/>
      <c r="J39" s="184">
        <f>B39</f>
        <v>0</v>
      </c>
      <c r="K39" s="185"/>
      <c r="L39" s="182">
        <v>100</v>
      </c>
      <c r="M39" s="185"/>
      <c r="N39" s="184">
        <f t="shared" si="2"/>
        <v>0</v>
      </c>
      <c r="O39" s="185"/>
      <c r="P39" s="186">
        <f>B39-N39</f>
        <v>0</v>
      </c>
      <c r="Q39" s="185"/>
    </row>
    <row r="40" spans="1:17" s="59" customFormat="1" x14ac:dyDescent="0.3">
      <c r="B40" s="128"/>
    </row>
    <row r="41" spans="1:17" s="59" customFormat="1" x14ac:dyDescent="0.3">
      <c r="B41" s="128"/>
      <c r="F41" s="187"/>
    </row>
    <row r="42" spans="1:17" s="60" customFormat="1" x14ac:dyDescent="0.3">
      <c r="B42" s="188"/>
    </row>
    <row r="43" spans="1:17" s="60" customFormat="1" x14ac:dyDescent="0.3">
      <c r="B43" s="188"/>
      <c r="F43" s="189"/>
    </row>
    <row r="44" spans="1:17" s="60" customFormat="1" x14ac:dyDescent="0.3">
      <c r="B44" s="188"/>
      <c r="E44" s="190"/>
      <c r="F44" s="191"/>
    </row>
    <row r="45" spans="1:17" s="60" customFormat="1" x14ac:dyDescent="0.3">
      <c r="B45" s="188"/>
    </row>
    <row r="46" spans="1:17" s="60" customFormat="1" x14ac:dyDescent="0.3">
      <c r="B46" s="192"/>
    </row>
    <row r="47" spans="1:17" s="60" customFormat="1" x14ac:dyDescent="0.3">
      <c r="B47" s="192"/>
    </row>
    <row r="48" spans="1:17" s="60" customFormat="1" x14ac:dyDescent="0.3">
      <c r="B48" s="188"/>
    </row>
    <row r="49" spans="1:2" s="60" customFormat="1" x14ac:dyDescent="0.3">
      <c r="B49" s="188"/>
    </row>
    <row r="50" spans="1:2" s="60" customFormat="1" x14ac:dyDescent="0.3">
      <c r="B50" s="188"/>
    </row>
    <row r="51" spans="1:2" s="60" customFormat="1" x14ac:dyDescent="0.3">
      <c r="A51" s="191"/>
      <c r="B51" s="188"/>
    </row>
    <row r="52" spans="1:2" s="60" customFormat="1" x14ac:dyDescent="0.3">
      <c r="B52" s="188"/>
    </row>
    <row r="53" spans="1:2" s="60" customFormat="1" x14ac:dyDescent="0.3">
      <c r="B53" s="188"/>
    </row>
    <row r="54" spans="1:2" s="60" customFormat="1" x14ac:dyDescent="0.3">
      <c r="B54" s="188"/>
    </row>
    <row r="68" spans="1:2" x14ac:dyDescent="0.3">
      <c r="A68" s="193"/>
      <c r="B68" s="193"/>
    </row>
    <row r="69" spans="1:2" x14ac:dyDescent="0.3">
      <c r="A69" s="195"/>
      <c r="B69" s="196"/>
    </row>
    <row r="70" spans="1:2" x14ac:dyDescent="0.3">
      <c r="A70" s="195"/>
      <c r="B70" s="196"/>
    </row>
    <row r="71" spans="1:2" x14ac:dyDescent="0.3">
      <c r="A71" s="195"/>
      <c r="B71" s="196"/>
    </row>
    <row r="72" spans="1:2" x14ac:dyDescent="0.3">
      <c r="A72" s="195"/>
      <c r="B72" s="196"/>
    </row>
    <row r="73" spans="1:2" x14ac:dyDescent="0.3">
      <c r="A73" s="195"/>
      <c r="B73" s="196"/>
    </row>
    <row r="74" spans="1:2" x14ac:dyDescent="0.3">
      <c r="A74" s="195"/>
      <c r="B74" s="196"/>
    </row>
    <row r="75" spans="1:2" x14ac:dyDescent="0.3">
      <c r="A75" s="195"/>
      <c r="B75" s="196"/>
    </row>
    <row r="76" spans="1:2" x14ac:dyDescent="0.3">
      <c r="A76" s="195"/>
      <c r="B76" s="196"/>
    </row>
    <row r="77" spans="1:2" x14ac:dyDescent="0.3">
      <c r="A77" s="195"/>
      <c r="B77" s="196"/>
    </row>
    <row r="78" spans="1:2" x14ac:dyDescent="0.3">
      <c r="A78" s="195"/>
      <c r="B78" s="196"/>
    </row>
    <row r="79" spans="1:2" x14ac:dyDescent="0.3">
      <c r="A79" s="197"/>
      <c r="B79" s="196"/>
    </row>
    <row r="80" spans="1:2" x14ac:dyDescent="0.3">
      <c r="A80" s="195"/>
      <c r="B80" s="196"/>
    </row>
    <row r="81" spans="1:10" x14ac:dyDescent="0.3">
      <c r="A81" s="195"/>
      <c r="B81" s="196"/>
    </row>
    <row r="82" spans="1:10" x14ac:dyDescent="0.3">
      <c r="A82" s="195"/>
      <c r="B82" s="196"/>
    </row>
    <row r="83" spans="1:10" x14ac:dyDescent="0.3">
      <c r="A83" s="195"/>
      <c r="B83" s="196"/>
    </row>
    <row r="84" spans="1:10" x14ac:dyDescent="0.3">
      <c r="A84" s="195"/>
      <c r="B84" s="196"/>
    </row>
    <row r="85" spans="1:10" x14ac:dyDescent="0.3">
      <c r="A85" s="195"/>
      <c r="B85" s="196"/>
    </row>
    <row r="86" spans="1:10" x14ac:dyDescent="0.3">
      <c r="A86" s="195"/>
      <c r="B86" s="196"/>
    </row>
    <row r="87" spans="1:10" x14ac:dyDescent="0.3">
      <c r="A87" s="198"/>
      <c r="B87" s="196"/>
    </row>
    <row r="88" spans="1:10" x14ac:dyDescent="0.3">
      <c r="A88" s="198"/>
      <c r="B88" s="196"/>
    </row>
    <row r="89" spans="1:10" x14ac:dyDescent="0.3">
      <c r="A89" s="198"/>
      <c r="B89" s="196"/>
    </row>
    <row r="90" spans="1:10" x14ac:dyDescent="0.3">
      <c r="A90" s="199"/>
      <c r="B90" s="200"/>
    </row>
    <row r="91" spans="1:10" x14ac:dyDescent="0.3">
      <c r="A91" s="199"/>
      <c r="B91" s="201"/>
    </row>
    <row r="92" spans="1:10" x14ac:dyDescent="0.3">
      <c r="A92" s="199"/>
      <c r="B92" s="202"/>
      <c r="E92" s="193"/>
    </row>
    <row r="93" spans="1:10" x14ac:dyDescent="0.3">
      <c r="A93" s="353" t="s">
        <v>75</v>
      </c>
      <c r="B93" s="354">
        <f>E93*'3. Tekniikka'!B33*365</f>
        <v>17639.999999999996</v>
      </c>
      <c r="C93" s="54" t="s">
        <v>455</v>
      </c>
      <c r="D93" s="54"/>
      <c r="E93" s="355">
        <v>7.1999999999999995E-2</v>
      </c>
      <c r="F93" s="54" t="s">
        <v>456</v>
      </c>
      <c r="G93" s="54"/>
      <c r="H93" s="54"/>
      <c r="I93" s="54"/>
      <c r="J93" s="54"/>
    </row>
    <row r="94" spans="1:10" x14ac:dyDescent="0.3">
      <c r="A94" s="353" t="s">
        <v>76</v>
      </c>
      <c r="B94" s="356">
        <f>E94*'3. Tekniikka'!B33*365</f>
        <v>1959.9999999999998</v>
      </c>
      <c r="C94" s="54" t="s">
        <v>455</v>
      </c>
      <c r="D94" s="54"/>
      <c r="E94" s="355">
        <v>8.0000000000000002E-3</v>
      </c>
      <c r="F94" s="54"/>
      <c r="G94" s="54"/>
      <c r="H94" s="54"/>
      <c r="I94" s="54"/>
      <c r="J94" s="54"/>
    </row>
    <row r="95" spans="1:10" x14ac:dyDescent="0.3">
      <c r="A95" s="353" t="s">
        <v>77</v>
      </c>
      <c r="B95" s="357">
        <v>0</v>
      </c>
      <c r="C95" s="54" t="s">
        <v>455</v>
      </c>
      <c r="D95" s="54"/>
      <c r="E95" s="355">
        <v>4.8000000000000001E-2</v>
      </c>
      <c r="F95" s="54"/>
      <c r="G95" s="54"/>
      <c r="H95" s="54"/>
      <c r="I95" s="54"/>
      <c r="J95" s="54"/>
    </row>
    <row r="96" spans="1:10" x14ac:dyDescent="0.3">
      <c r="A96" s="353" t="s">
        <v>78</v>
      </c>
      <c r="B96" s="357">
        <v>0</v>
      </c>
      <c r="C96" s="54" t="s">
        <v>455</v>
      </c>
      <c r="D96" s="54"/>
      <c r="E96" s="355">
        <v>8.0000000000000002E-3</v>
      </c>
      <c r="F96" s="54"/>
      <c r="G96" s="54"/>
      <c r="H96" s="54"/>
      <c r="I96" s="54"/>
      <c r="J96" s="54"/>
    </row>
    <row r="97" spans="1:10" x14ac:dyDescent="0.3">
      <c r="A97" s="353" t="s">
        <v>79</v>
      </c>
      <c r="B97" s="354">
        <f>E97*'1. Syötteet'!C48</f>
        <v>2100</v>
      </c>
      <c r="C97" s="54" t="s">
        <v>455</v>
      </c>
      <c r="D97" s="54"/>
      <c r="E97" s="355">
        <v>0.3</v>
      </c>
      <c r="F97" s="54"/>
      <c r="G97" s="54"/>
      <c r="H97" s="54"/>
      <c r="I97" s="54"/>
      <c r="J97" s="54"/>
    </row>
    <row r="98" spans="1:10" x14ac:dyDescent="0.3">
      <c r="A98" s="353" t="s">
        <v>80</v>
      </c>
      <c r="B98" s="354">
        <f>E98*'3. Tekniikka'!B4</f>
        <v>2400</v>
      </c>
      <c r="C98" s="54" t="s">
        <v>455</v>
      </c>
      <c r="D98" s="54"/>
      <c r="E98" s="355">
        <v>0.4</v>
      </c>
      <c r="F98" s="54"/>
      <c r="G98" s="54"/>
      <c r="H98" s="54"/>
      <c r="I98" s="54"/>
      <c r="J98" s="54"/>
    </row>
    <row r="99" spans="1:10" x14ac:dyDescent="0.3">
      <c r="A99" s="353" t="s">
        <v>81</v>
      </c>
      <c r="B99" s="354">
        <f>SUM('3. Tekniikka'!D8:D10)*'4. Energia'!E99*365</f>
        <v>792.00000000000011</v>
      </c>
      <c r="C99" s="54" t="s">
        <v>455</v>
      </c>
      <c r="D99" s="54"/>
      <c r="E99" s="355">
        <v>1.32E-2</v>
      </c>
      <c r="F99" s="54"/>
      <c r="G99" s="54"/>
      <c r="H99" s="54"/>
      <c r="I99" s="54"/>
      <c r="J99" s="54"/>
    </row>
    <row r="100" spans="1:10" x14ac:dyDescent="0.3">
      <c r="A100" s="353" t="s">
        <v>82</v>
      </c>
      <c r="B100" s="354">
        <f>IF('3. Tekniikka'!B26="Ei murskausta, pelkästään kiinteän syöttölaite (esim. syöttöruuvi)",E100*'3. Tekniikka'!B13,0)</f>
        <v>0</v>
      </c>
      <c r="C100" s="54" t="s">
        <v>455</v>
      </c>
      <c r="D100" s="54"/>
      <c r="E100" s="355">
        <v>0.54</v>
      </c>
      <c r="F100" s="54"/>
      <c r="G100" s="54" t="s">
        <v>394</v>
      </c>
      <c r="H100" s="54"/>
      <c r="I100" s="54"/>
      <c r="J100" s="54"/>
    </row>
    <row r="101" spans="1:10" x14ac:dyDescent="0.3">
      <c r="A101" s="353" t="s">
        <v>83</v>
      </c>
      <c r="B101" s="354">
        <f>E101*'3. Tekniikka'!B13</f>
        <v>3500</v>
      </c>
      <c r="C101" s="54" t="s">
        <v>455</v>
      </c>
      <c r="D101" s="54"/>
      <c r="E101" s="355">
        <v>3.5</v>
      </c>
      <c r="F101" s="54" t="s">
        <v>387</v>
      </c>
      <c r="G101" s="54"/>
      <c r="H101" s="54"/>
      <c r="I101" s="54"/>
      <c r="J101" s="54"/>
    </row>
    <row r="102" spans="1:10" x14ac:dyDescent="0.3">
      <c r="A102" s="353" t="s">
        <v>84</v>
      </c>
      <c r="B102" s="354">
        <f>E102*'1. Syötteet'!C48</f>
        <v>4200</v>
      </c>
      <c r="C102" s="54" t="s">
        <v>455</v>
      </c>
      <c r="D102" s="54"/>
      <c r="E102" s="355">
        <v>0.6</v>
      </c>
      <c r="F102" s="54"/>
      <c r="G102" s="54"/>
      <c r="H102" s="54"/>
      <c r="I102" s="54"/>
      <c r="J102" s="54"/>
    </row>
    <row r="103" spans="1:10" x14ac:dyDescent="0.3">
      <c r="A103" s="353" t="s">
        <v>85</v>
      </c>
      <c r="B103" s="354">
        <f>SUM(D12:D15)/10*1000*E103</f>
        <v>13198.560021417559</v>
      </c>
      <c r="C103" s="54" t="s">
        <v>455</v>
      </c>
      <c r="D103" s="54"/>
      <c r="E103" s="355">
        <v>0.1</v>
      </c>
      <c r="F103" s="54"/>
      <c r="G103" s="54" t="s">
        <v>394</v>
      </c>
      <c r="H103" s="54"/>
      <c r="I103" s="54"/>
      <c r="J103" s="54"/>
    </row>
    <row r="104" spans="1:10" x14ac:dyDescent="0.3">
      <c r="A104" s="353" t="s">
        <v>59</v>
      </c>
      <c r="B104" s="354">
        <f>E104*365</f>
        <v>26280</v>
      </c>
      <c r="C104" s="54" t="s">
        <v>455</v>
      </c>
      <c r="D104" s="54"/>
      <c r="E104" s="355">
        <v>72</v>
      </c>
      <c r="F104" s="54"/>
      <c r="G104" s="54"/>
      <c r="H104" s="54"/>
      <c r="I104" s="54"/>
      <c r="J104" s="54"/>
    </row>
    <row r="105" spans="1:10" x14ac:dyDescent="0.3">
      <c r="A105" s="353" t="s">
        <v>86</v>
      </c>
      <c r="B105" s="354">
        <f>E105*'3. Tekniikka'!B49</f>
        <v>0</v>
      </c>
      <c r="C105" s="54" t="s">
        <v>455</v>
      </c>
      <c r="D105" s="54"/>
      <c r="E105" s="355">
        <v>8.5000000000000006E-2</v>
      </c>
      <c r="F105" s="54"/>
      <c r="G105" s="54"/>
      <c r="H105" s="54"/>
      <c r="I105" s="54"/>
      <c r="J105" s="54"/>
    </row>
    <row r="106" spans="1:10" x14ac:dyDescent="0.3">
      <c r="A106" s="353" t="s">
        <v>87</v>
      </c>
      <c r="B106" s="354">
        <f>E106*((D16+D17)*1000)</f>
        <v>0</v>
      </c>
      <c r="C106" s="54" t="s">
        <v>455</v>
      </c>
      <c r="D106" s="54"/>
      <c r="E106" s="355">
        <v>0.02</v>
      </c>
      <c r="F106" s="54" t="s">
        <v>380</v>
      </c>
      <c r="G106" s="54"/>
      <c r="H106" s="54"/>
      <c r="I106" s="54"/>
      <c r="J106" s="54"/>
    </row>
    <row r="107" spans="1:10" x14ac:dyDescent="0.3">
      <c r="A107" s="353" t="s">
        <v>88</v>
      </c>
      <c r="B107" s="354">
        <f>E107*(D16+D17)*1000</f>
        <v>0</v>
      </c>
      <c r="C107" s="54" t="s">
        <v>455</v>
      </c>
      <c r="D107" s="54"/>
      <c r="E107" s="355">
        <v>0.03</v>
      </c>
      <c r="F107" s="54" t="s">
        <v>381</v>
      </c>
      <c r="G107" s="54"/>
      <c r="H107" s="54"/>
      <c r="I107" s="54"/>
      <c r="J107" s="54"/>
    </row>
    <row r="108" spans="1:10" x14ac:dyDescent="0.3">
      <c r="A108" s="353" t="s">
        <v>89</v>
      </c>
      <c r="B108" s="354">
        <f>E108*(D17*1000)</f>
        <v>0</v>
      </c>
      <c r="C108" s="54" t="s">
        <v>455</v>
      </c>
      <c r="D108" s="54"/>
      <c r="E108" s="355">
        <v>5.0000000000000001E-3</v>
      </c>
      <c r="F108" s="54" t="s">
        <v>382</v>
      </c>
      <c r="G108" s="54"/>
      <c r="H108" s="54"/>
      <c r="I108" s="54"/>
      <c r="J108" s="54"/>
    </row>
    <row r="109" spans="1:10" x14ac:dyDescent="0.3">
      <c r="A109" s="353" t="s">
        <v>90</v>
      </c>
      <c r="B109" s="354">
        <f>E109*('2. Laitostyyppi'!B13/0.9)</f>
        <v>0</v>
      </c>
      <c r="C109" s="54" t="s">
        <v>455</v>
      </c>
      <c r="D109" s="54"/>
      <c r="E109" s="355">
        <v>0.6</v>
      </c>
      <c r="F109" s="54" t="s">
        <v>383</v>
      </c>
      <c r="G109" s="54"/>
      <c r="H109" s="54"/>
      <c r="I109" s="54"/>
      <c r="J109" s="54"/>
    </row>
    <row r="110" spans="1:10" x14ac:dyDescent="0.3">
      <c r="A110" s="358" t="s">
        <v>453</v>
      </c>
      <c r="B110" s="354">
        <f>IF('3. Tekniikka'!B38="Ruuviseparointi",E110*'5. Ravinteet'!D5,0)</f>
        <v>0</v>
      </c>
      <c r="C110" s="54" t="s">
        <v>455</v>
      </c>
      <c r="D110" s="54"/>
      <c r="E110" s="355">
        <v>0.6</v>
      </c>
      <c r="F110" s="54"/>
      <c r="G110" s="54"/>
      <c r="H110" s="54"/>
      <c r="I110" s="54"/>
      <c r="J110" s="54"/>
    </row>
    <row r="111" spans="1:10" x14ac:dyDescent="0.3">
      <c r="A111" s="358" t="s">
        <v>457</v>
      </c>
      <c r="B111" s="354">
        <f>IF('3. Tekniikka'!B38="Linkoseparointi",E111*'5. Ravinteet'!D5,0)</f>
        <v>0</v>
      </c>
      <c r="C111" s="54" t="s">
        <v>455</v>
      </c>
      <c r="D111" s="54"/>
      <c r="E111" s="359">
        <v>2</v>
      </c>
      <c r="F111" s="54" t="s">
        <v>454</v>
      </c>
      <c r="G111" s="54"/>
      <c r="H111" s="54"/>
      <c r="I111" s="54"/>
      <c r="J111" s="54"/>
    </row>
    <row r="112" spans="1:10" x14ac:dyDescent="0.3">
      <c r="A112" s="353" t="s">
        <v>91</v>
      </c>
      <c r="B112" s="354">
        <f>E112*'2. Laitostyyppi'!B13</f>
        <v>0</v>
      </c>
      <c r="C112" s="54" t="s">
        <v>455</v>
      </c>
      <c r="D112" s="54"/>
      <c r="E112" s="355">
        <v>0.4</v>
      </c>
      <c r="F112" s="54" t="s">
        <v>384</v>
      </c>
      <c r="G112" s="54"/>
      <c r="H112" s="54"/>
      <c r="I112" s="54"/>
      <c r="J112" s="54"/>
    </row>
    <row r="113" spans="1:10" x14ac:dyDescent="0.3">
      <c r="A113" s="353" t="s">
        <v>92</v>
      </c>
      <c r="B113" s="354">
        <f>E113*'5. Ravinteet'!D5</f>
        <v>2682.6341180897766</v>
      </c>
      <c r="C113" s="54"/>
      <c r="D113" s="54"/>
      <c r="E113" s="355">
        <v>0.4</v>
      </c>
      <c r="F113" s="54" t="s">
        <v>385</v>
      </c>
      <c r="G113" s="54"/>
      <c r="H113" s="54"/>
      <c r="I113" s="54"/>
      <c r="J113" s="54"/>
    </row>
    <row r="114" spans="1:10" x14ac:dyDescent="0.3">
      <c r="A114" s="353" t="s">
        <v>93</v>
      </c>
      <c r="B114" s="354">
        <v>0</v>
      </c>
      <c r="C114" s="54"/>
      <c r="D114" s="54"/>
      <c r="E114" s="355">
        <v>1.32E-2</v>
      </c>
      <c r="F114" s="54" t="s">
        <v>386</v>
      </c>
      <c r="G114" s="54"/>
      <c r="H114" s="54"/>
      <c r="I114" s="54"/>
      <c r="J114" s="54"/>
    </row>
    <row r="115" spans="1:10" x14ac:dyDescent="0.3">
      <c r="A115" s="353"/>
      <c r="B115" s="357"/>
      <c r="C115" s="54"/>
      <c r="D115" s="54"/>
      <c r="E115" s="54"/>
      <c r="F115" s="54"/>
      <c r="G115" s="54"/>
      <c r="H115" s="54"/>
      <c r="I115" s="54"/>
      <c r="J115" s="54"/>
    </row>
    <row r="116" spans="1:10" ht="18" x14ac:dyDescent="0.35">
      <c r="A116" s="360" t="s">
        <v>94</v>
      </c>
      <c r="B116" s="361">
        <f>SUM(B93:B114)</f>
        <v>74753.194139507337</v>
      </c>
      <c r="C116" s="54"/>
      <c r="D116" s="54"/>
      <c r="E116" s="54"/>
      <c r="F116" s="54"/>
      <c r="G116" s="54"/>
      <c r="H116" s="54"/>
      <c r="I116" s="54"/>
      <c r="J116" s="54"/>
    </row>
    <row r="117" spans="1:10" ht="15.6" x14ac:dyDescent="0.3">
      <c r="A117" s="362" t="s">
        <v>74</v>
      </c>
      <c r="B117" s="363">
        <f>B116/1000</f>
        <v>74.753194139507343</v>
      </c>
      <c r="C117" s="54" t="s">
        <v>74</v>
      </c>
      <c r="D117" s="54"/>
      <c r="E117" s="54"/>
      <c r="F117" s="54"/>
      <c r="G117" s="54"/>
      <c r="H117" s="54"/>
      <c r="I117" s="54"/>
      <c r="J117" s="54"/>
    </row>
    <row r="118" spans="1:10" x14ac:dyDescent="0.3">
      <c r="A118" s="353"/>
      <c r="B118" s="357"/>
      <c r="C118" s="54"/>
      <c r="D118" s="54"/>
      <c r="E118" s="54"/>
      <c r="F118" s="54"/>
      <c r="G118" s="54"/>
      <c r="H118" s="54"/>
      <c r="I118" s="54"/>
      <c r="J118" s="54"/>
    </row>
    <row r="119" spans="1:10" x14ac:dyDescent="0.3">
      <c r="A119" s="353" t="s">
        <v>379</v>
      </c>
      <c r="B119" s="364">
        <f>B117/B3</f>
        <v>5.1868610580494932E-2</v>
      </c>
      <c r="C119" s="54"/>
      <c r="D119" s="54"/>
      <c r="E119" s="54"/>
      <c r="F119" s="54"/>
      <c r="G119" s="54"/>
      <c r="H119" s="54"/>
      <c r="I119" s="54"/>
      <c r="J119" s="54"/>
    </row>
    <row r="120" spans="1:10" x14ac:dyDescent="0.3">
      <c r="A120" s="54"/>
      <c r="B120" s="365"/>
      <c r="C120" s="54"/>
      <c r="D120" s="54"/>
      <c r="E120" s="54"/>
      <c r="F120" s="54"/>
      <c r="G120" s="54"/>
      <c r="H120" s="54"/>
      <c r="I120" s="54"/>
      <c r="J120" s="54"/>
    </row>
    <row r="121" spans="1:10" x14ac:dyDescent="0.3">
      <c r="A121" s="54"/>
      <c r="B121" s="365"/>
      <c r="C121" s="54"/>
      <c r="D121" s="54"/>
      <c r="E121" s="54"/>
      <c r="F121" s="54"/>
      <c r="G121" s="54"/>
      <c r="H121" s="54"/>
      <c r="I121" s="54"/>
      <c r="J121" s="54"/>
    </row>
    <row r="122" spans="1:10" x14ac:dyDescent="0.3">
      <c r="A122" s="366" t="s">
        <v>464</v>
      </c>
      <c r="B122" s="367"/>
      <c r="C122" s="115"/>
      <c r="D122" s="115"/>
      <c r="E122" s="54"/>
      <c r="F122" s="54"/>
      <c r="G122" s="54"/>
      <c r="H122" s="54"/>
      <c r="I122" s="54"/>
      <c r="J122" s="54"/>
    </row>
    <row r="123" spans="1:10" x14ac:dyDescent="0.3">
      <c r="A123" s="54" t="s">
        <v>465</v>
      </c>
      <c r="B123" s="367">
        <f>'1. Syötteet'!C48</f>
        <v>7000</v>
      </c>
      <c r="C123" s="115"/>
      <c r="D123" s="115"/>
      <c r="E123" s="54"/>
      <c r="F123" s="54"/>
      <c r="G123" s="54"/>
      <c r="H123" s="54"/>
      <c r="I123" s="54"/>
      <c r="J123" s="54"/>
    </row>
    <row r="124" spans="1:10" x14ac:dyDescent="0.3">
      <c r="A124" s="54" t="s">
        <v>466</v>
      </c>
      <c r="B124" s="368">
        <f>'1. Syötteet'!D47</f>
        <v>12</v>
      </c>
      <c r="C124" s="115"/>
      <c r="D124" s="115"/>
      <c r="E124" s="54"/>
      <c r="F124" s="54"/>
      <c r="G124" s="54"/>
      <c r="H124" s="54"/>
      <c r="I124" s="54"/>
      <c r="J124" s="54"/>
    </row>
    <row r="125" spans="1:10" x14ac:dyDescent="0.3">
      <c r="A125" s="54" t="s">
        <v>467</v>
      </c>
      <c r="B125" s="368">
        <f>'1. Syötteet'!M47</f>
        <v>8.7142857142857135</v>
      </c>
      <c r="C125" s="115"/>
      <c r="D125" s="115"/>
      <c r="E125" s="54"/>
      <c r="F125" s="54"/>
      <c r="G125" s="54"/>
      <c r="H125" s="54"/>
      <c r="I125" s="54"/>
      <c r="J125" s="54"/>
    </row>
    <row r="126" spans="1:10" x14ac:dyDescent="0.3">
      <c r="A126" s="54" t="s">
        <v>468</v>
      </c>
      <c r="B126" s="369">
        <f>(4.19-0.0275*B124)/3.6*B123*('3. Tekniikka'!B32-B125)</f>
        <v>197288.88888888888</v>
      </c>
      <c r="C126" s="115"/>
      <c r="D126" s="115"/>
      <c r="E126" s="54"/>
      <c r="F126" s="54"/>
      <c r="G126" s="54"/>
      <c r="H126" s="54"/>
      <c r="I126" s="54"/>
      <c r="J126" s="54"/>
    </row>
    <row r="127" spans="1:10" x14ac:dyDescent="0.3">
      <c r="A127" s="370" t="s">
        <v>469</v>
      </c>
      <c r="B127" s="367">
        <f>B126/365</f>
        <v>540.51750380517501</v>
      </c>
      <c r="C127" s="115"/>
      <c r="D127" s="115"/>
      <c r="E127" s="54"/>
      <c r="F127" s="54"/>
      <c r="G127" s="54"/>
      <c r="H127" s="54"/>
      <c r="I127" s="54"/>
      <c r="J127" s="54"/>
    </row>
    <row r="128" spans="1:10" x14ac:dyDescent="0.3">
      <c r="A128" s="366" t="s">
        <v>64</v>
      </c>
      <c r="B128" s="367"/>
      <c r="C128" s="115"/>
      <c r="D128" s="115"/>
      <c r="E128" s="54"/>
      <c r="F128" s="54"/>
      <c r="G128" s="54"/>
      <c r="H128" s="54"/>
      <c r="I128" s="54"/>
      <c r="J128" s="54"/>
    </row>
    <row r="129" spans="1:10" x14ac:dyDescent="0.3">
      <c r="A129" s="371" t="s">
        <v>65</v>
      </c>
      <c r="B129" s="368">
        <f>'3. Tekniikka'!B53</f>
        <v>4</v>
      </c>
      <c r="C129" s="115"/>
      <c r="D129" s="115"/>
      <c r="E129" s="54"/>
      <c r="F129" s="54"/>
      <c r="G129" s="54"/>
      <c r="H129" s="54"/>
      <c r="I129" s="54"/>
      <c r="J129" s="54"/>
    </row>
    <row r="130" spans="1:10" x14ac:dyDescent="0.3">
      <c r="A130" s="371" t="s">
        <v>66</v>
      </c>
      <c r="B130" s="368">
        <f>'3. Tekniikka'!B54</f>
        <v>5</v>
      </c>
      <c r="C130" s="115"/>
      <c r="D130" s="115"/>
      <c r="E130" s="54"/>
      <c r="F130" s="54"/>
      <c r="G130" s="54"/>
      <c r="H130" s="54"/>
      <c r="I130" s="54"/>
      <c r="J130" s="54"/>
    </row>
    <row r="131" spans="1:10" x14ac:dyDescent="0.3">
      <c r="A131" s="371" t="s">
        <v>625</v>
      </c>
      <c r="B131" s="367">
        <f>'3. Tekniikka'!B33*1.1</f>
        <v>738.35616438356158</v>
      </c>
      <c r="C131" s="115"/>
      <c r="D131" s="115"/>
      <c r="E131" s="54"/>
      <c r="F131" s="54"/>
      <c r="G131" s="54"/>
      <c r="H131" s="54"/>
      <c r="I131" s="54"/>
      <c r="J131" s="54"/>
    </row>
    <row r="132" spans="1:10" x14ac:dyDescent="0.3">
      <c r="A132" s="371" t="s">
        <v>67</v>
      </c>
      <c r="B132" s="372">
        <v>6.9</v>
      </c>
      <c r="C132" s="115"/>
      <c r="D132" s="115"/>
      <c r="E132" s="54"/>
      <c r="F132" s="54"/>
      <c r="G132" s="54"/>
      <c r="H132" s="54"/>
      <c r="I132" s="54"/>
      <c r="J132" s="54"/>
    </row>
    <row r="133" spans="1:10" x14ac:dyDescent="0.3">
      <c r="A133" s="371" t="s">
        <v>68</v>
      </c>
      <c r="B133" s="372">
        <f>SQRT(B131/(PI()*B132))</f>
        <v>5.8362444079707467</v>
      </c>
      <c r="C133" s="115"/>
      <c r="D133" s="115"/>
      <c r="E133" s="54"/>
      <c r="F133" s="54"/>
      <c r="G133" s="54"/>
      <c r="H133" s="54"/>
      <c r="I133" s="54"/>
      <c r="J133" s="54"/>
    </row>
    <row r="134" spans="1:10" x14ac:dyDescent="0.3">
      <c r="A134" s="371" t="s">
        <v>69</v>
      </c>
      <c r="B134" s="367">
        <f>PI()*B133^2</f>
        <v>107.00813976573355</v>
      </c>
      <c r="C134" s="115"/>
      <c r="D134" s="115"/>
      <c r="E134" s="54"/>
      <c r="F134" s="54"/>
      <c r="G134" s="54"/>
      <c r="H134" s="54"/>
      <c r="I134" s="54"/>
      <c r="J134" s="54"/>
    </row>
    <row r="135" spans="1:10" x14ac:dyDescent="0.3">
      <c r="A135" s="371" t="s">
        <v>70</v>
      </c>
      <c r="B135" s="367">
        <f>B134</f>
        <v>107.00813976573355</v>
      </c>
      <c r="C135" s="115"/>
      <c r="D135" s="115"/>
      <c r="E135" s="54"/>
      <c r="F135" s="54"/>
      <c r="G135" s="54"/>
      <c r="H135" s="54"/>
      <c r="I135" s="54"/>
      <c r="J135" s="54"/>
    </row>
    <row r="136" spans="1:10" x14ac:dyDescent="0.3">
      <c r="A136" s="371" t="s">
        <v>71</v>
      </c>
      <c r="B136" s="367">
        <f>2*PI()*B133*B132</f>
        <v>253.02441528156865</v>
      </c>
      <c r="C136" s="115"/>
      <c r="D136" s="115"/>
      <c r="E136" s="54"/>
      <c r="F136" s="54"/>
      <c r="G136" s="54"/>
      <c r="H136" s="54"/>
      <c r="I136" s="54"/>
      <c r="J136" s="54"/>
    </row>
    <row r="137" spans="1:10" x14ac:dyDescent="0.3">
      <c r="A137" s="370" t="s">
        <v>72</v>
      </c>
      <c r="B137" s="367">
        <f>PI()*B133^2*B132</f>
        <v>738.35616438356146</v>
      </c>
      <c r="C137" s="115"/>
      <c r="D137" s="115"/>
      <c r="E137" s="54"/>
      <c r="F137" s="54"/>
      <c r="G137" s="54"/>
      <c r="H137" s="54"/>
      <c r="I137" s="54"/>
      <c r="J137" s="54"/>
    </row>
    <row r="138" spans="1:10" x14ac:dyDescent="0.3">
      <c r="A138" s="371" t="s">
        <v>478</v>
      </c>
      <c r="B138" s="367"/>
      <c r="C138" s="115"/>
      <c r="D138" s="115"/>
      <c r="E138" s="54"/>
      <c r="F138" s="54"/>
      <c r="G138" s="54"/>
      <c r="H138" s="54"/>
      <c r="I138" s="54"/>
      <c r="J138" s="54"/>
    </row>
    <row r="139" spans="1:10" x14ac:dyDescent="0.3">
      <c r="A139" s="373" t="s">
        <v>626</v>
      </c>
      <c r="B139" s="374">
        <v>3.5999999999999997E-2</v>
      </c>
      <c r="C139" s="115"/>
      <c r="D139" s="115"/>
      <c r="E139" s="54"/>
      <c r="F139" s="54"/>
      <c r="G139" s="54"/>
      <c r="H139" s="54"/>
      <c r="I139" s="54"/>
      <c r="J139" s="54"/>
    </row>
    <row r="140" spans="1:10" x14ac:dyDescent="0.3">
      <c r="A140" s="371" t="s">
        <v>73</v>
      </c>
      <c r="B140" s="372">
        <v>0.12</v>
      </c>
      <c r="C140" s="115"/>
      <c r="D140" s="115"/>
      <c r="E140" s="54"/>
      <c r="F140" s="54"/>
      <c r="G140" s="54"/>
      <c r="H140" s="54"/>
      <c r="I140" s="54"/>
      <c r="J140" s="54"/>
    </row>
    <row r="141" spans="1:10" ht="15" x14ac:dyDescent="0.3">
      <c r="A141" s="373" t="s">
        <v>627</v>
      </c>
      <c r="B141" s="372">
        <f>1/(B140/B139)</f>
        <v>0.3</v>
      </c>
      <c r="C141" s="115"/>
      <c r="D141" s="115"/>
      <c r="E141" s="54"/>
      <c r="F141" s="54"/>
      <c r="G141" s="54"/>
      <c r="H141" s="54"/>
      <c r="I141" s="54"/>
      <c r="J141" s="54"/>
    </row>
    <row r="142" spans="1:10" ht="15.6" x14ac:dyDescent="0.35">
      <c r="A142" s="52" t="s">
        <v>628</v>
      </c>
      <c r="B142" s="369">
        <f>B141*(B135+B136)*('3. Tekniikka'!B32-B129)*24/1000*365</f>
        <v>29331.132194593611</v>
      </c>
      <c r="C142" s="115"/>
      <c r="D142" s="115"/>
      <c r="E142" s="54"/>
      <c r="F142" s="54"/>
      <c r="G142" s="54"/>
      <c r="H142" s="54"/>
      <c r="I142" s="54"/>
      <c r="J142" s="54"/>
    </row>
    <row r="143" spans="1:10" ht="15.6" x14ac:dyDescent="0.35">
      <c r="A143" s="52" t="s">
        <v>629</v>
      </c>
      <c r="B143" s="369">
        <f>B141*(B134)*('3. Tekniikka'!B32-B130)*24/1000*365</f>
        <v>8436.5217391304323</v>
      </c>
      <c r="C143" s="115"/>
      <c r="D143" s="115"/>
      <c r="E143" s="54"/>
      <c r="F143" s="54"/>
      <c r="G143" s="54"/>
      <c r="H143" s="54"/>
      <c r="I143" s="54"/>
      <c r="J143" s="54"/>
    </row>
    <row r="144" spans="1:10" x14ac:dyDescent="0.3">
      <c r="A144" s="52" t="s">
        <v>470</v>
      </c>
      <c r="B144" s="369">
        <f>'4. Energia'!B93</f>
        <v>17639.999999999996</v>
      </c>
      <c r="C144" s="115"/>
      <c r="D144" s="115"/>
      <c r="E144" s="54"/>
      <c r="F144" s="54"/>
      <c r="G144" s="54"/>
      <c r="H144" s="54"/>
      <c r="I144" s="54"/>
      <c r="J144" s="54"/>
    </row>
    <row r="145" spans="1:10" x14ac:dyDescent="0.3">
      <c r="A145" s="52" t="s">
        <v>471</v>
      </c>
      <c r="B145" s="375">
        <f>B126+B142+B143-B144</f>
        <v>217416.54282261292</v>
      </c>
      <c r="C145" s="115"/>
      <c r="D145" s="115"/>
      <c r="E145" s="54"/>
      <c r="F145" s="54"/>
      <c r="G145" s="54"/>
      <c r="H145" s="54"/>
      <c r="I145" s="54"/>
      <c r="J145" s="54"/>
    </row>
    <row r="146" spans="1:10" x14ac:dyDescent="0.3">
      <c r="A146" s="52" t="s">
        <v>472</v>
      </c>
      <c r="B146" s="376">
        <f>B145/1000</f>
        <v>217.41654282261291</v>
      </c>
      <c r="C146" s="115"/>
      <c r="D146" s="115"/>
      <c r="E146" s="54"/>
      <c r="F146" s="54"/>
      <c r="G146" s="54"/>
      <c r="H146" s="54"/>
      <c r="I146" s="54"/>
      <c r="J146" s="54"/>
    </row>
    <row r="147" spans="1:10" x14ac:dyDescent="0.3">
      <c r="A147" s="115" t="s">
        <v>473</v>
      </c>
      <c r="B147" s="233">
        <f>B145/365</f>
        <v>595.66176115784356</v>
      </c>
      <c r="C147" s="115"/>
      <c r="D147" s="115"/>
      <c r="E147" s="54"/>
      <c r="F147" s="54"/>
      <c r="G147" s="54"/>
      <c r="H147" s="54"/>
      <c r="I147" s="54"/>
      <c r="J147" s="54"/>
    </row>
  </sheetData>
  <sheetProtection algorithmName="SHA-512" hashValue="idbXkba0oPiGHtIQN1zh/Y+sBr9Aty7Mc4ZY9kEb97M8wgd+3LpfebfruyKTnKV7BtbuiAaXw5BNCIsfU2CYYg==" saltValue="tgIYG+NfFtSplBJoe96U4A==" spinCount="100000" sheet="1" objects="1" scenarios="1"/>
  <protectedRanges>
    <protectedRange sqref="B12:B13" name="Alue1"/>
    <protectedRange sqref="H12" name="Alue2"/>
    <protectedRange sqref="H14:H16" name="Alue3"/>
    <protectedRange sqref="B16:B19" name="Alue4"/>
    <protectedRange sqref="D27:D28" name="Alue5"/>
    <protectedRange sqref="F27:F30" name="Alue6"/>
    <protectedRange sqref="L35:L39" name="Alue7"/>
  </protectedRanges>
  <phoneticPr fontId="4" type="noConversion"/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37D5F-E15E-479C-9BD3-C568DDFCC46E}">
  <dimension ref="A1:M91"/>
  <sheetViews>
    <sheetView workbookViewId="0">
      <selection activeCell="F10" sqref="F10"/>
    </sheetView>
  </sheetViews>
  <sheetFormatPr defaultRowHeight="14.4" x14ac:dyDescent="0.3"/>
  <cols>
    <col min="1" max="1" width="21.5546875" style="194" customWidth="1"/>
    <col min="2" max="4" width="8.88671875" style="194"/>
    <col min="5" max="5" width="10.109375" style="194" bestFit="1" customWidth="1"/>
    <col min="6" max="8" width="8.88671875" style="194"/>
    <col min="9" max="9" width="8.88671875" style="238"/>
    <col min="10" max="10" width="4.6640625" style="194" customWidth="1"/>
    <col min="11" max="11" width="8.88671875" style="194"/>
    <col min="12" max="12" width="4.77734375" style="194" customWidth="1"/>
    <col min="13" max="16384" width="8.88671875" style="194"/>
  </cols>
  <sheetData>
    <row r="1" spans="1:10" s="59" customFormat="1" ht="24" thickBot="1" x14ac:dyDescent="0.5">
      <c r="A1" s="13" t="s">
        <v>260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59" customFormat="1" ht="15" thickTop="1" x14ac:dyDescent="0.3">
      <c r="I2" s="204"/>
    </row>
    <row r="3" spans="1:10" s="59" customFormat="1" x14ac:dyDescent="0.3">
      <c r="A3" s="59" t="s">
        <v>238</v>
      </c>
      <c r="D3" s="205">
        <f>'1. Syötteet'!C48</f>
        <v>7000</v>
      </c>
      <c r="E3" s="59" t="s">
        <v>434</v>
      </c>
      <c r="I3" s="204"/>
    </row>
    <row r="4" spans="1:10" s="59" customFormat="1" x14ac:dyDescent="0.3">
      <c r="A4" s="59" t="s">
        <v>237</v>
      </c>
      <c r="D4" s="137">
        <f>(('4. Energia'!B3*1000/10*0.717/1000)+('4. Energia'!B5-'4. Energia'!B3*1000/10)*1.96/1000)</f>
        <v>293.4147047755585</v>
      </c>
      <c r="E4" s="59" t="s">
        <v>231</v>
      </c>
      <c r="I4" s="204"/>
    </row>
    <row r="5" spans="1:10" s="59" customFormat="1" x14ac:dyDescent="0.3">
      <c r="A5" s="59" t="s">
        <v>433</v>
      </c>
      <c r="D5" s="137">
        <f>'1. Syötteet'!C48-(('4. Energia'!B3*1000/10*0.717/1000)+('4. Energia'!B5-'4. Energia'!B3*1000/10)*1.96/1000)</f>
        <v>6706.5852952244413</v>
      </c>
      <c r="E5" s="59" t="s">
        <v>231</v>
      </c>
      <c r="I5" s="204"/>
    </row>
    <row r="6" spans="1:10" s="59" customFormat="1" x14ac:dyDescent="0.3">
      <c r="D6" s="137"/>
      <c r="I6" s="204"/>
    </row>
    <row r="7" spans="1:10" s="59" customFormat="1" ht="23.4" x14ac:dyDescent="0.45">
      <c r="A7" s="206" t="s">
        <v>177</v>
      </c>
      <c r="I7" s="204"/>
    </row>
    <row r="8" spans="1:10" s="135" customFormat="1" ht="14.4" customHeight="1" x14ac:dyDescent="0.3">
      <c r="A8" s="134" t="s">
        <v>178</v>
      </c>
      <c r="B8" s="134"/>
      <c r="C8" s="134"/>
      <c r="D8" s="207" t="s">
        <v>461</v>
      </c>
      <c r="E8" s="134"/>
      <c r="F8" s="134"/>
      <c r="G8" s="134"/>
      <c r="H8" s="134"/>
      <c r="I8" s="207" t="s">
        <v>462</v>
      </c>
      <c r="J8" s="134"/>
    </row>
    <row r="9" spans="1:10" s="59" customFormat="1" x14ac:dyDescent="0.3">
      <c r="A9" s="59" t="s">
        <v>200</v>
      </c>
      <c r="D9" s="140" t="s">
        <v>18</v>
      </c>
      <c r="I9" s="71">
        <f>D5</f>
        <v>6706.5852952244413</v>
      </c>
      <c r="J9" s="59" t="s">
        <v>42</v>
      </c>
    </row>
    <row r="10" spans="1:10" s="59" customFormat="1" x14ac:dyDescent="0.3">
      <c r="A10" s="59" t="s">
        <v>201</v>
      </c>
      <c r="D10" s="208">
        <f>I10/I$9*100</f>
        <v>8.149979030515702</v>
      </c>
      <c r="E10" s="60" t="s">
        <v>9</v>
      </c>
      <c r="I10" s="71">
        <f>'1. Syötteet'!D48-'5. Ravinteet'!D4</f>
        <v>546.58529522444155</v>
      </c>
      <c r="J10" s="59" t="s">
        <v>42</v>
      </c>
    </row>
    <row r="11" spans="1:10" s="59" customFormat="1" x14ac:dyDescent="0.3">
      <c r="A11" s="59" t="s">
        <v>202</v>
      </c>
      <c r="D11" s="208">
        <f>I11/I$9*100</f>
        <v>6.0922999893162153</v>
      </c>
      <c r="E11" s="60" t="s">
        <v>9</v>
      </c>
      <c r="I11" s="71">
        <f>'1. Syötteet'!F48-'5. Ravinteet'!D4</f>
        <v>408.5852952244415</v>
      </c>
      <c r="J11" s="59" t="s">
        <v>42</v>
      </c>
    </row>
    <row r="12" spans="1:10" s="59" customFormat="1" x14ac:dyDescent="0.3">
      <c r="A12" s="59" t="s">
        <v>179</v>
      </c>
      <c r="D12" s="209">
        <f>I12/I$9*1000</f>
        <v>5.6213405690739586</v>
      </c>
      <c r="E12" s="59" t="s">
        <v>10</v>
      </c>
      <c r="I12" s="140">
        <f>'1. Syötteet'!H48</f>
        <v>37.700000000000003</v>
      </c>
      <c r="J12" s="59" t="s">
        <v>42</v>
      </c>
    </row>
    <row r="13" spans="1:10" s="59" customFormat="1" x14ac:dyDescent="0.3">
      <c r="A13" s="59" t="s">
        <v>180</v>
      </c>
      <c r="D13" s="209">
        <f>I13/I$9*1000</f>
        <v>3.3870643522933346</v>
      </c>
      <c r="E13" s="59" t="s">
        <v>10</v>
      </c>
      <c r="I13" s="208">
        <f>'1. Syötteet'!I48+'5. Ravinteet'!B71</f>
        <v>22.715635979069376</v>
      </c>
      <c r="J13" s="59" t="s">
        <v>42</v>
      </c>
    </row>
    <row r="14" spans="1:10" s="59" customFormat="1" x14ac:dyDescent="0.3">
      <c r="A14" s="59" t="s">
        <v>181</v>
      </c>
      <c r="D14" s="209">
        <f>I14/I$9*1000</f>
        <v>0.93937521446063488</v>
      </c>
      <c r="E14" s="59" t="s">
        <v>10</v>
      </c>
      <c r="I14" s="140">
        <f>'1. Syötteet'!J48</f>
        <v>6.3</v>
      </c>
      <c r="J14" s="59" t="s">
        <v>42</v>
      </c>
    </row>
    <row r="15" spans="1:10" s="59" customFormat="1" x14ac:dyDescent="0.3">
      <c r="A15" s="59" t="s">
        <v>182</v>
      </c>
      <c r="D15" s="209">
        <f>I15/I$9*1000</f>
        <v>5.2783940622073766</v>
      </c>
      <c r="E15" s="59" t="s">
        <v>10</v>
      </c>
      <c r="I15" s="140">
        <f>'1. Syötteet'!K48</f>
        <v>35.4</v>
      </c>
      <c r="J15" s="59" t="s">
        <v>42</v>
      </c>
    </row>
    <row r="16" spans="1:10" s="59" customFormat="1" x14ac:dyDescent="0.3">
      <c r="I16" s="204"/>
    </row>
    <row r="17" spans="1:13" s="59" customFormat="1" x14ac:dyDescent="0.3">
      <c r="A17" s="60" t="s">
        <v>183</v>
      </c>
      <c r="B17" s="60"/>
      <c r="I17" s="204"/>
    </row>
    <row r="18" spans="1:13" s="59" customFormat="1" x14ac:dyDescent="0.3">
      <c r="A18" s="59" t="s">
        <v>241</v>
      </c>
      <c r="G18" s="210">
        <f>B71*1000</f>
        <v>5015.6359790693759</v>
      </c>
      <c r="H18" s="59" t="s">
        <v>524</v>
      </c>
      <c r="J18" s="211">
        <f>B71/'1. Syötteet'!I48</f>
        <v>0.28336926435420207</v>
      </c>
      <c r="K18" s="59" t="s">
        <v>525</v>
      </c>
    </row>
    <row r="19" spans="1:13" s="59" customFormat="1" x14ac:dyDescent="0.3">
      <c r="A19" s="60" t="s">
        <v>246</v>
      </c>
      <c r="G19" s="212">
        <f>'7. Tuotot ja kulut'!E19</f>
        <v>1.3</v>
      </c>
      <c r="H19" s="59" t="s">
        <v>243</v>
      </c>
      <c r="I19" s="63" t="s">
        <v>578</v>
      </c>
      <c r="J19" s="63"/>
      <c r="M19" s="63"/>
    </row>
    <row r="20" spans="1:13" s="59" customFormat="1" x14ac:dyDescent="0.3">
      <c r="A20" s="59" t="s">
        <v>242</v>
      </c>
      <c r="G20" s="210">
        <f>G18*G19</f>
        <v>6520.3267727901894</v>
      </c>
      <c r="H20" s="59" t="s">
        <v>244</v>
      </c>
    </row>
    <row r="21" spans="1:13" s="59" customFormat="1" x14ac:dyDescent="0.3">
      <c r="I21" s="204"/>
    </row>
    <row r="22" spans="1:13" s="59" customFormat="1" ht="21" x14ac:dyDescent="0.4">
      <c r="A22" s="213" t="s">
        <v>435</v>
      </c>
      <c r="I22" s="204"/>
    </row>
    <row r="23" spans="1:13" s="214" customFormat="1" ht="18" x14ac:dyDescent="0.35">
      <c r="A23" s="214" t="s">
        <v>432</v>
      </c>
      <c r="D23" s="215" t="str">
        <f>'3. Tekniikka'!B38</f>
        <v>Ei separointia</v>
      </c>
      <c r="E23" s="216"/>
      <c r="G23" s="217" t="s">
        <v>460</v>
      </c>
      <c r="I23" s="218"/>
    </row>
    <row r="24" spans="1:13" s="59" customFormat="1" x14ac:dyDescent="0.3">
      <c r="I24" s="204"/>
    </row>
    <row r="25" spans="1:13" s="59" customFormat="1" x14ac:dyDescent="0.3">
      <c r="A25" s="60" t="s">
        <v>523</v>
      </c>
      <c r="B25" s="60"/>
      <c r="I25" s="204"/>
    </row>
    <row r="26" spans="1:13" s="59" customFormat="1" x14ac:dyDescent="0.3">
      <c r="I26" s="204"/>
    </row>
    <row r="27" spans="1:13" s="59" customFormat="1" ht="23.4" x14ac:dyDescent="0.45">
      <c r="A27" s="159" t="s">
        <v>239</v>
      </c>
      <c r="I27" s="204"/>
    </row>
    <row r="28" spans="1:13" s="135" customFormat="1" ht="14.4" customHeight="1" x14ac:dyDescent="0.3">
      <c r="A28" s="134" t="s">
        <v>178</v>
      </c>
      <c r="B28" s="134"/>
      <c r="C28" s="134" t="s">
        <v>193</v>
      </c>
      <c r="D28" s="207"/>
      <c r="E28" s="207" t="s">
        <v>461</v>
      </c>
      <c r="F28" s="134"/>
      <c r="G28" s="134"/>
      <c r="H28" s="134"/>
      <c r="I28" s="207" t="s">
        <v>463</v>
      </c>
      <c r="J28" s="134"/>
    </row>
    <row r="29" spans="1:13" s="59" customFormat="1" x14ac:dyDescent="0.3">
      <c r="A29" s="59" t="s">
        <v>200</v>
      </c>
      <c r="C29" s="140" t="str" cm="1">
        <f t="array" ref="C29">_xlfn.IFS('3. Tekniikka'!$B$38="Ruuviseparointi",F52,'3. Tekniikka'!$B$38="Linkoseparointi",B52,'3. Tekniikka'!$B$38="Ei separointia","-")</f>
        <v>-</v>
      </c>
      <c r="E29" s="140" t="s">
        <v>18</v>
      </c>
      <c r="I29" s="219" t="str">
        <f>IF(C29="-","-",C29/100*I9)</f>
        <v>-</v>
      </c>
      <c r="J29" s="59" t="s">
        <v>42</v>
      </c>
      <c r="L29" s="220" t="s">
        <v>481</v>
      </c>
    </row>
    <row r="30" spans="1:13" s="59" customFormat="1" x14ac:dyDescent="0.3">
      <c r="A30" s="59" t="s">
        <v>201</v>
      </c>
      <c r="C30" s="140" t="str" cm="1">
        <f t="array" ref="C30">_xlfn.IFS('3. Tekniikka'!$B$38="Ruuviseparointi",F53,'3. Tekniikka'!$B$38="Linkoseparointi",B53,'3. Tekniikka'!$B$38="Ei separointia","-")</f>
        <v>-</v>
      </c>
      <c r="E30" s="208" t="str">
        <f>IF(C30="-","-",I30/I$29*100)</f>
        <v>-</v>
      </c>
      <c r="F30" s="60" t="s">
        <v>9</v>
      </c>
      <c r="I30" s="219" t="str">
        <f t="shared" ref="I30:I35" si="0">IF(C30="-","-",C30/100*I10)</f>
        <v>-</v>
      </c>
      <c r="J30" s="59" t="s">
        <v>42</v>
      </c>
    </row>
    <row r="31" spans="1:13" s="59" customFormat="1" x14ac:dyDescent="0.3">
      <c r="A31" s="59" t="s">
        <v>202</v>
      </c>
      <c r="C31" s="140" t="str" cm="1">
        <f t="array" ref="C31">_xlfn.IFS('3. Tekniikka'!$B$38="Ruuviseparointi",F54,'3. Tekniikka'!$B$38="Linkoseparointi",B54,'3. Tekniikka'!$B$38="Ei separointia","-")</f>
        <v>-</v>
      </c>
      <c r="E31" s="208" t="str">
        <f t="shared" ref="E31:E35" si="1">IF(C31="-","-",I31/I$29*100)</f>
        <v>-</v>
      </c>
      <c r="F31" s="60" t="s">
        <v>9</v>
      </c>
      <c r="I31" s="219" t="str">
        <f t="shared" si="0"/>
        <v>-</v>
      </c>
      <c r="J31" s="59" t="s">
        <v>42</v>
      </c>
    </row>
    <row r="32" spans="1:13" s="59" customFormat="1" x14ac:dyDescent="0.3">
      <c r="A32" s="59" t="s">
        <v>179</v>
      </c>
      <c r="C32" s="140" t="str" cm="1">
        <f t="array" ref="C32">_xlfn.IFS('3. Tekniikka'!$B$38="Ruuviseparointi",F55,'3. Tekniikka'!$B$38="Linkoseparointi",B55,'3. Tekniikka'!$B$38="Ei separointia","-")</f>
        <v>-</v>
      </c>
      <c r="E32" s="209" t="str">
        <f t="shared" si="1"/>
        <v>-</v>
      </c>
      <c r="F32" s="59" t="s">
        <v>10</v>
      </c>
      <c r="I32" s="208" t="str">
        <f t="shared" si="0"/>
        <v>-</v>
      </c>
      <c r="J32" s="59" t="s">
        <v>42</v>
      </c>
    </row>
    <row r="33" spans="1:12" s="59" customFormat="1" x14ac:dyDescent="0.3">
      <c r="A33" s="59" t="s">
        <v>180</v>
      </c>
      <c r="C33" s="140" t="str" cm="1">
        <f t="array" ref="C33">_xlfn.IFS('3. Tekniikka'!$B$38="Ruuviseparointi",F56,'3. Tekniikka'!$B$38="Linkoseparointi",B56,'3. Tekniikka'!$B$38="Ei separointia","-")</f>
        <v>-</v>
      </c>
      <c r="E33" s="209" t="str">
        <f t="shared" si="1"/>
        <v>-</v>
      </c>
      <c r="F33" s="59" t="s">
        <v>10</v>
      </c>
      <c r="I33" s="208" t="str">
        <f t="shared" si="0"/>
        <v>-</v>
      </c>
      <c r="J33" s="59" t="s">
        <v>42</v>
      </c>
    </row>
    <row r="34" spans="1:12" s="59" customFormat="1" x14ac:dyDescent="0.3">
      <c r="A34" s="59" t="s">
        <v>181</v>
      </c>
      <c r="C34" s="140" t="str" cm="1">
        <f t="array" ref="C34">_xlfn.IFS('3. Tekniikka'!$B$38="Ruuviseparointi",F57,'3. Tekniikka'!$B$38="Linkoseparointi",B57,'3. Tekniikka'!$B$38="Ei separointia","-")</f>
        <v>-</v>
      </c>
      <c r="E34" s="209" t="str">
        <f t="shared" si="1"/>
        <v>-</v>
      </c>
      <c r="F34" s="59" t="s">
        <v>10</v>
      </c>
      <c r="I34" s="208" t="str">
        <f t="shared" si="0"/>
        <v>-</v>
      </c>
      <c r="J34" s="59" t="s">
        <v>42</v>
      </c>
    </row>
    <row r="35" spans="1:12" s="59" customFormat="1" x14ac:dyDescent="0.3">
      <c r="A35" s="59" t="s">
        <v>182</v>
      </c>
      <c r="C35" s="140" t="str" cm="1">
        <f t="array" ref="C35">_xlfn.IFS('3. Tekniikka'!$B$38="Ruuviseparointi",F58,'3. Tekniikka'!$B$38="Linkoseparointi",B58,'3. Tekniikka'!$B$38="Ei separointia","-")</f>
        <v>-</v>
      </c>
      <c r="E35" s="209" t="str">
        <f t="shared" si="1"/>
        <v>-</v>
      </c>
      <c r="F35" s="59" t="s">
        <v>10</v>
      </c>
      <c r="I35" s="208" t="str">
        <f t="shared" si="0"/>
        <v>-</v>
      </c>
      <c r="J35" s="59" t="s">
        <v>42</v>
      </c>
    </row>
    <row r="36" spans="1:12" s="59" customFormat="1" x14ac:dyDescent="0.3">
      <c r="I36" s="204"/>
    </row>
    <row r="37" spans="1:12" s="59" customFormat="1" ht="23.4" x14ac:dyDescent="0.45">
      <c r="A37" s="159" t="s">
        <v>240</v>
      </c>
      <c r="I37" s="204"/>
    </row>
    <row r="38" spans="1:12" s="135" customFormat="1" ht="14.4" customHeight="1" x14ac:dyDescent="0.3">
      <c r="A38" s="134" t="s">
        <v>178</v>
      </c>
      <c r="B38" s="134"/>
      <c r="C38" s="134" t="s">
        <v>193</v>
      </c>
      <c r="D38" s="207"/>
      <c r="E38" s="207" t="s">
        <v>461</v>
      </c>
      <c r="F38" s="134"/>
      <c r="G38" s="134"/>
      <c r="H38" s="134"/>
      <c r="I38" s="207" t="s">
        <v>463</v>
      </c>
      <c r="J38" s="134"/>
    </row>
    <row r="39" spans="1:12" s="59" customFormat="1" x14ac:dyDescent="0.3">
      <c r="A39" s="59" t="s">
        <v>200</v>
      </c>
      <c r="C39" s="140" t="str">
        <f>IF(C29="-","-",100-C29)</f>
        <v>-</v>
      </c>
      <c r="E39" s="140" t="s">
        <v>18</v>
      </c>
      <c r="I39" s="219" t="str">
        <f>IF(C39="-","-",C39/100*I9)</f>
        <v>-</v>
      </c>
      <c r="J39" s="59" t="s">
        <v>42</v>
      </c>
      <c r="L39" s="221"/>
    </row>
    <row r="40" spans="1:12" s="59" customFormat="1" x14ac:dyDescent="0.3">
      <c r="A40" s="59" t="s">
        <v>201</v>
      </c>
      <c r="C40" s="140" t="str">
        <f t="shared" ref="C40:C45" si="2">IF(C30="-","-",100-C30)</f>
        <v>-</v>
      </c>
      <c r="E40" s="208" t="str">
        <f>IF(C40="-","-",I40/I$39*100)</f>
        <v>-</v>
      </c>
      <c r="F40" s="60" t="s">
        <v>9</v>
      </c>
      <c r="I40" s="219" t="str">
        <f t="shared" ref="I40:I45" si="3">IF(C40="-","-",C40/100*I10)</f>
        <v>-</v>
      </c>
      <c r="J40" s="59" t="s">
        <v>42</v>
      </c>
    </row>
    <row r="41" spans="1:12" s="59" customFormat="1" x14ac:dyDescent="0.3">
      <c r="A41" s="59" t="s">
        <v>202</v>
      </c>
      <c r="C41" s="140" t="str">
        <f t="shared" si="2"/>
        <v>-</v>
      </c>
      <c r="E41" s="208" t="str">
        <f t="shared" ref="E41:E45" si="4">IF(C41="-","-",I41/I$39*100)</f>
        <v>-</v>
      </c>
      <c r="F41" s="60" t="s">
        <v>9</v>
      </c>
      <c r="I41" s="219" t="str">
        <f t="shared" si="3"/>
        <v>-</v>
      </c>
      <c r="J41" s="59" t="s">
        <v>42</v>
      </c>
    </row>
    <row r="42" spans="1:12" s="59" customFormat="1" x14ac:dyDescent="0.3">
      <c r="A42" s="59" t="s">
        <v>179</v>
      </c>
      <c r="C42" s="140" t="str">
        <f t="shared" si="2"/>
        <v>-</v>
      </c>
      <c r="E42" s="209" t="str">
        <f t="shared" si="4"/>
        <v>-</v>
      </c>
      <c r="F42" s="59" t="s">
        <v>10</v>
      </c>
      <c r="I42" s="208" t="str">
        <f t="shared" si="3"/>
        <v>-</v>
      </c>
      <c r="J42" s="59" t="s">
        <v>42</v>
      </c>
    </row>
    <row r="43" spans="1:12" s="59" customFormat="1" x14ac:dyDescent="0.3">
      <c r="A43" s="59" t="s">
        <v>180</v>
      </c>
      <c r="C43" s="140" t="str">
        <f t="shared" si="2"/>
        <v>-</v>
      </c>
      <c r="E43" s="209" t="str">
        <f t="shared" si="4"/>
        <v>-</v>
      </c>
      <c r="F43" s="59" t="s">
        <v>10</v>
      </c>
      <c r="I43" s="208" t="str">
        <f t="shared" si="3"/>
        <v>-</v>
      </c>
      <c r="J43" s="59" t="s">
        <v>42</v>
      </c>
    </row>
    <row r="44" spans="1:12" s="59" customFormat="1" x14ac:dyDescent="0.3">
      <c r="A44" s="59" t="s">
        <v>181</v>
      </c>
      <c r="C44" s="140" t="str">
        <f t="shared" si="2"/>
        <v>-</v>
      </c>
      <c r="E44" s="209" t="str">
        <f t="shared" si="4"/>
        <v>-</v>
      </c>
      <c r="F44" s="59" t="s">
        <v>10</v>
      </c>
      <c r="I44" s="208" t="str">
        <f t="shared" si="3"/>
        <v>-</v>
      </c>
      <c r="J44" s="59" t="s">
        <v>42</v>
      </c>
    </row>
    <row r="45" spans="1:12" s="59" customFormat="1" x14ac:dyDescent="0.3">
      <c r="A45" s="59" t="s">
        <v>182</v>
      </c>
      <c r="C45" s="140" t="str">
        <f t="shared" si="2"/>
        <v>-</v>
      </c>
      <c r="E45" s="209" t="str">
        <f t="shared" si="4"/>
        <v>-</v>
      </c>
      <c r="F45" s="59" t="s">
        <v>10</v>
      </c>
      <c r="I45" s="208" t="str">
        <f t="shared" si="3"/>
        <v>-</v>
      </c>
      <c r="J45" s="59" t="s">
        <v>42</v>
      </c>
    </row>
    <row r="46" spans="1:12" s="59" customFormat="1" x14ac:dyDescent="0.3">
      <c r="I46" s="204"/>
    </row>
    <row r="47" spans="1:12" s="59" customFormat="1" x14ac:dyDescent="0.3">
      <c r="I47" s="204"/>
    </row>
    <row r="48" spans="1:12" s="59" customFormat="1" ht="23.4" x14ac:dyDescent="0.45">
      <c r="A48" s="159" t="s">
        <v>223</v>
      </c>
      <c r="I48" s="204"/>
    </row>
    <row r="49" spans="1:11" s="59" customFormat="1" x14ac:dyDescent="0.3">
      <c r="I49" s="204"/>
    </row>
    <row r="50" spans="1:11" s="59" customFormat="1" ht="21" x14ac:dyDescent="0.4">
      <c r="A50" s="222" t="s">
        <v>63</v>
      </c>
      <c r="B50" s="148"/>
      <c r="C50" s="223"/>
      <c r="E50" s="222" t="s">
        <v>230</v>
      </c>
      <c r="F50" s="148"/>
      <c r="G50" s="223"/>
      <c r="I50" s="204"/>
    </row>
    <row r="51" spans="1:11" s="59" customFormat="1" x14ac:dyDescent="0.3">
      <c r="A51" s="224"/>
      <c r="B51" s="225" t="s">
        <v>193</v>
      </c>
      <c r="C51" s="226"/>
      <c r="D51" s="63"/>
      <c r="E51" s="224"/>
      <c r="F51" s="225" t="s">
        <v>193</v>
      </c>
      <c r="G51" s="226"/>
      <c r="H51" s="63" t="s">
        <v>229</v>
      </c>
      <c r="I51" s="63"/>
      <c r="J51" s="63"/>
      <c r="K51" s="63"/>
    </row>
    <row r="52" spans="1:11" s="59" customFormat="1" x14ac:dyDescent="0.3">
      <c r="A52" s="224" t="s">
        <v>194</v>
      </c>
      <c r="B52" s="227">
        <v>18</v>
      </c>
      <c r="C52" s="226"/>
      <c r="E52" s="224" t="s">
        <v>194</v>
      </c>
      <c r="F52" s="227">
        <v>10</v>
      </c>
      <c r="G52" s="226"/>
      <c r="I52" s="204"/>
    </row>
    <row r="53" spans="1:11" s="59" customFormat="1" x14ac:dyDescent="0.3">
      <c r="A53" s="224" t="s">
        <v>567</v>
      </c>
      <c r="B53" s="227">
        <v>56</v>
      </c>
      <c r="C53" s="226"/>
      <c r="E53" s="224" t="s">
        <v>567</v>
      </c>
      <c r="F53" s="227">
        <v>45</v>
      </c>
      <c r="G53" s="226"/>
      <c r="I53" s="204"/>
    </row>
    <row r="54" spans="1:11" s="59" customFormat="1" x14ac:dyDescent="0.3">
      <c r="A54" s="224" t="s">
        <v>195</v>
      </c>
      <c r="B54" s="227">
        <v>63</v>
      </c>
      <c r="C54" s="226"/>
      <c r="E54" s="224" t="s">
        <v>195</v>
      </c>
      <c r="F54" s="227">
        <v>51</v>
      </c>
      <c r="G54" s="226"/>
      <c r="I54" s="204"/>
    </row>
    <row r="55" spans="1:11" s="59" customFormat="1" x14ac:dyDescent="0.3">
      <c r="A55" s="224" t="s">
        <v>196</v>
      </c>
      <c r="B55" s="227">
        <v>31</v>
      </c>
      <c r="C55" s="226"/>
      <c r="E55" s="224" t="s">
        <v>196</v>
      </c>
      <c r="F55" s="227">
        <v>19</v>
      </c>
      <c r="G55" s="226"/>
      <c r="I55" s="204"/>
    </row>
    <row r="56" spans="1:11" s="59" customFormat="1" x14ac:dyDescent="0.3">
      <c r="A56" s="224" t="s">
        <v>197</v>
      </c>
      <c r="B56" s="227">
        <v>18</v>
      </c>
      <c r="C56" s="226"/>
      <c r="E56" s="224" t="s">
        <v>197</v>
      </c>
      <c r="F56" s="227">
        <v>13</v>
      </c>
      <c r="G56" s="226"/>
      <c r="I56" s="204"/>
    </row>
    <row r="57" spans="1:11" s="59" customFormat="1" x14ac:dyDescent="0.3">
      <c r="A57" s="224" t="s">
        <v>198</v>
      </c>
      <c r="B57" s="227">
        <v>75</v>
      </c>
      <c r="C57" s="226"/>
      <c r="E57" s="224" t="s">
        <v>198</v>
      </c>
      <c r="F57" s="227">
        <v>29</v>
      </c>
      <c r="G57" s="226"/>
      <c r="I57" s="204"/>
    </row>
    <row r="58" spans="1:11" s="59" customFormat="1" x14ac:dyDescent="0.3">
      <c r="A58" s="228" t="s">
        <v>199</v>
      </c>
      <c r="B58" s="229">
        <v>15</v>
      </c>
      <c r="C58" s="230"/>
      <c r="E58" s="228" t="s">
        <v>199</v>
      </c>
      <c r="F58" s="229">
        <v>11</v>
      </c>
      <c r="G58" s="230"/>
      <c r="I58" s="204"/>
    </row>
    <row r="59" spans="1:11" s="59" customFormat="1" x14ac:dyDescent="0.3">
      <c r="A59" s="141"/>
      <c r="B59" s="142"/>
      <c r="C59" s="141"/>
      <c r="I59" s="204"/>
    </row>
    <row r="60" spans="1:11" s="59" customFormat="1" x14ac:dyDescent="0.3">
      <c r="I60" s="204"/>
    </row>
    <row r="61" spans="1:11" s="59" customFormat="1" x14ac:dyDescent="0.3">
      <c r="A61" s="231" t="s">
        <v>521</v>
      </c>
      <c r="B61" s="115"/>
      <c r="C61" s="115"/>
      <c r="D61" s="54"/>
      <c r="E61" s="54"/>
      <c r="I61" s="204"/>
    </row>
    <row r="62" spans="1:11" s="59" customFormat="1" x14ac:dyDescent="0.3">
      <c r="A62" s="115" t="s">
        <v>511</v>
      </c>
      <c r="B62" s="232">
        <f>'3. Tekniikka'!B45*1000/10</f>
        <v>144120.29414880474</v>
      </c>
      <c r="C62" s="115"/>
      <c r="D62" s="54"/>
      <c r="E62" s="54"/>
      <c r="I62" s="204"/>
    </row>
    <row r="63" spans="1:11" s="59" customFormat="1" x14ac:dyDescent="0.3">
      <c r="A63" s="115" t="s">
        <v>512</v>
      </c>
      <c r="B63" s="232">
        <f>B62*0.717/1000</f>
        <v>103.33425090469299</v>
      </c>
      <c r="C63" s="115"/>
      <c r="D63" s="54"/>
      <c r="E63" s="54"/>
      <c r="I63" s="204"/>
    </row>
    <row r="64" spans="1:11" s="59" customFormat="1" x14ac:dyDescent="0.3">
      <c r="A64" s="115" t="s">
        <v>513</v>
      </c>
      <c r="B64" s="232">
        <f>'4. Energia'!B5-'5. Ravinteet'!B62</f>
        <v>96979.823403502785</v>
      </c>
      <c r="C64" s="115"/>
      <c r="D64" s="54"/>
      <c r="E64" s="54"/>
      <c r="I64" s="204"/>
    </row>
    <row r="65" spans="1:9" s="59" customFormat="1" x14ac:dyDescent="0.3">
      <c r="A65" s="115" t="s">
        <v>514</v>
      </c>
      <c r="B65" s="232">
        <f>B64*1.96/1000</f>
        <v>190.08045387086545</v>
      </c>
      <c r="C65" s="115"/>
      <c r="D65" s="54"/>
      <c r="E65" s="54"/>
      <c r="I65" s="204"/>
    </row>
    <row r="66" spans="1:9" s="59" customFormat="1" x14ac:dyDescent="0.3">
      <c r="A66" s="115" t="s">
        <v>515</v>
      </c>
      <c r="B66" s="232">
        <f>B63+B65</f>
        <v>293.41470477555845</v>
      </c>
      <c r="C66" s="115"/>
      <c r="D66" s="54"/>
      <c r="E66" s="54"/>
      <c r="I66" s="204"/>
    </row>
    <row r="67" spans="1:9" s="59" customFormat="1" x14ac:dyDescent="0.3">
      <c r="A67" s="115" t="s">
        <v>518</v>
      </c>
      <c r="B67" s="233">
        <f>B66/'1. Syötteet'!F48*100</f>
        <v>41.796966492244792</v>
      </c>
      <c r="C67" s="115"/>
      <c r="D67" s="54"/>
      <c r="E67" s="54"/>
      <c r="I67" s="204"/>
    </row>
    <row r="68" spans="1:9" s="59" customFormat="1" x14ac:dyDescent="0.3">
      <c r="A68" s="115" t="s">
        <v>517</v>
      </c>
      <c r="B68" s="233">
        <f>0.6*B67</f>
        <v>25.078179895346874</v>
      </c>
      <c r="C68" s="115" t="s">
        <v>516</v>
      </c>
      <c r="D68" s="54"/>
      <c r="E68" s="54"/>
      <c r="I68" s="204"/>
    </row>
    <row r="69" spans="1:9" s="59" customFormat="1" x14ac:dyDescent="0.3">
      <c r="A69" s="115" t="s">
        <v>520</v>
      </c>
      <c r="B69" s="234">
        <f>'1. Syötteet'!H48-'1. Syötteet'!I48</f>
        <v>20.000000000000004</v>
      </c>
      <c r="C69" s="115"/>
      <c r="D69" s="54"/>
      <c r="E69" s="54"/>
      <c r="I69" s="204"/>
    </row>
    <row r="70" spans="1:9" s="59" customFormat="1" x14ac:dyDescent="0.3">
      <c r="A70" s="115" t="s">
        <v>519</v>
      </c>
      <c r="B70" s="234">
        <f>(100-B68)/100*B69</f>
        <v>14.984364020930627</v>
      </c>
      <c r="C70" s="115"/>
      <c r="D70" s="54"/>
      <c r="E70" s="54"/>
      <c r="I70" s="204"/>
    </row>
    <row r="71" spans="1:9" s="59" customFormat="1" x14ac:dyDescent="0.3">
      <c r="A71" s="235" t="s">
        <v>522</v>
      </c>
      <c r="B71" s="236">
        <f>B69-B70</f>
        <v>5.0156359790693763</v>
      </c>
      <c r="C71" s="54"/>
      <c r="D71" s="54"/>
      <c r="E71" s="54"/>
      <c r="I71" s="204"/>
    </row>
    <row r="72" spans="1:9" s="59" customFormat="1" x14ac:dyDescent="0.3">
      <c r="I72" s="204"/>
    </row>
    <row r="73" spans="1:9" s="59" customFormat="1" x14ac:dyDescent="0.3">
      <c r="I73" s="204"/>
    </row>
    <row r="74" spans="1:9" s="59" customFormat="1" x14ac:dyDescent="0.3">
      <c r="I74" s="204"/>
    </row>
    <row r="75" spans="1:9" s="59" customFormat="1" x14ac:dyDescent="0.3">
      <c r="I75" s="204"/>
    </row>
    <row r="76" spans="1:9" s="59" customFormat="1" x14ac:dyDescent="0.3">
      <c r="I76" s="204"/>
    </row>
    <row r="77" spans="1:9" s="59" customFormat="1" x14ac:dyDescent="0.3">
      <c r="I77" s="204"/>
    </row>
    <row r="78" spans="1:9" s="59" customFormat="1" x14ac:dyDescent="0.3">
      <c r="I78" s="204"/>
    </row>
    <row r="79" spans="1:9" s="59" customFormat="1" x14ac:dyDescent="0.3">
      <c r="I79" s="204"/>
    </row>
    <row r="80" spans="1:9" s="59" customFormat="1" ht="23.4" x14ac:dyDescent="0.45">
      <c r="A80" s="237"/>
      <c r="B80" s="60"/>
      <c r="I80" s="204"/>
    </row>
    <row r="81" spans="1:9" s="59" customFormat="1" x14ac:dyDescent="0.3">
      <c r="A81" s="60"/>
      <c r="B81" s="60"/>
      <c r="I81" s="204"/>
    </row>
    <row r="82" spans="1:9" s="59" customFormat="1" x14ac:dyDescent="0.3">
      <c r="A82" s="60"/>
      <c r="B82" s="60"/>
      <c r="I82" s="204"/>
    </row>
    <row r="83" spans="1:9" s="59" customFormat="1" x14ac:dyDescent="0.3">
      <c r="A83" s="60"/>
      <c r="B83" s="60"/>
      <c r="I83" s="204"/>
    </row>
    <row r="84" spans="1:9" s="59" customFormat="1" x14ac:dyDescent="0.3">
      <c r="A84" s="60"/>
      <c r="B84" s="60"/>
      <c r="I84" s="204"/>
    </row>
    <row r="85" spans="1:9" s="59" customFormat="1" x14ac:dyDescent="0.3">
      <c r="A85" s="60"/>
      <c r="B85" s="60"/>
      <c r="I85" s="204"/>
    </row>
    <row r="86" spans="1:9" s="59" customFormat="1" x14ac:dyDescent="0.3">
      <c r="A86" s="60"/>
      <c r="B86" s="60"/>
      <c r="I86" s="204"/>
    </row>
    <row r="87" spans="1:9" s="59" customFormat="1" x14ac:dyDescent="0.3">
      <c r="A87" s="60"/>
      <c r="B87" s="60"/>
      <c r="I87" s="204"/>
    </row>
    <row r="88" spans="1:9" s="59" customFormat="1" x14ac:dyDescent="0.3">
      <c r="A88" s="60"/>
      <c r="B88" s="60"/>
      <c r="I88" s="204"/>
    </row>
    <row r="89" spans="1:9" s="59" customFormat="1" x14ac:dyDescent="0.3">
      <c r="A89" s="60"/>
      <c r="B89" s="60"/>
      <c r="I89" s="204"/>
    </row>
    <row r="90" spans="1:9" s="59" customFormat="1" x14ac:dyDescent="0.3">
      <c r="A90" s="60"/>
      <c r="B90" s="60"/>
      <c r="I90" s="204"/>
    </row>
    <row r="91" spans="1:9" s="59" customFormat="1" x14ac:dyDescent="0.3">
      <c r="A91" s="60"/>
      <c r="B91" s="60"/>
      <c r="I91" s="204"/>
    </row>
  </sheetData>
  <sheetProtection algorithmName="SHA-512" hashValue="pOMdSDnZ/MP3nNvkEgAUmcTXuRUaX/v9KCGwm6KE9XJJe9I5xBtKfcPc4Mqe/2eX6E8Uzg+SUOoEr1tsixL80Q==" saltValue="Rh9DrQPJkyN0b0sgzcUpSg==" spinCount="100000" sheet="1" objects="1" scenarios="1"/>
  <protectedRanges>
    <protectedRange sqref="F52:F58" name="Alue2"/>
    <protectedRange sqref="B52:B58" name="Alue1"/>
  </protectedRange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20A73-8DFA-40AF-AF48-21CAA839E381}">
  <sheetPr codeName="Taul1"/>
  <dimension ref="A1:N72"/>
  <sheetViews>
    <sheetView workbookViewId="0">
      <selection activeCell="B27" sqref="B27:C27"/>
    </sheetView>
  </sheetViews>
  <sheetFormatPr defaultRowHeight="14.4" x14ac:dyDescent="0.3"/>
  <cols>
    <col min="1" max="1" width="61.109375" style="118" customWidth="1"/>
    <col min="2" max="2" width="12.21875" style="118" customWidth="1"/>
    <col min="3" max="3" width="3.6640625" style="118" customWidth="1"/>
    <col min="4" max="4" width="12.21875" style="267" customWidth="1"/>
    <col min="5" max="5" width="3.21875" style="118" customWidth="1"/>
    <col min="6" max="6" width="17.33203125" style="268" customWidth="1"/>
    <col min="7" max="9" width="17.33203125" style="239" customWidth="1"/>
    <col min="10" max="10" width="27.77734375" style="239" customWidth="1"/>
    <col min="11" max="11" width="27.77734375" style="268" customWidth="1"/>
    <col min="12" max="12" width="47" style="118" customWidth="1"/>
    <col min="13" max="13" width="8.88671875" style="118"/>
    <col min="14" max="14" width="18.44140625" style="118" customWidth="1"/>
    <col min="15" max="15" width="15" style="118" customWidth="1"/>
    <col min="16" max="16384" width="8.88671875" style="118"/>
  </cols>
  <sheetData>
    <row r="1" spans="1:14" s="83" customFormat="1" ht="24" thickBot="1" x14ac:dyDescent="0.5">
      <c r="A1" s="13" t="s">
        <v>145</v>
      </c>
      <c r="B1" s="13"/>
      <c r="C1" s="13"/>
      <c r="D1" s="13"/>
      <c r="E1" s="13"/>
      <c r="F1" s="13"/>
      <c r="G1" s="239"/>
      <c r="H1" s="239"/>
      <c r="I1" s="239"/>
      <c r="J1" s="239"/>
      <c r="K1" s="240"/>
    </row>
    <row r="2" spans="1:14" s="83" customFormat="1" ht="15" thickTop="1" x14ac:dyDescent="0.3">
      <c r="D2" s="241"/>
      <c r="F2" s="240"/>
      <c r="G2" s="239"/>
      <c r="H2" s="239"/>
      <c r="I2" s="239"/>
      <c r="J2" s="239"/>
      <c r="K2" s="240"/>
    </row>
    <row r="3" spans="1:14" s="83" customFormat="1" x14ac:dyDescent="0.3">
      <c r="A3" s="83" t="s">
        <v>423</v>
      </c>
      <c r="D3" s="241"/>
      <c r="F3" s="240"/>
      <c r="G3" s="239"/>
      <c r="H3" s="239"/>
      <c r="I3" s="239"/>
      <c r="J3" s="239"/>
      <c r="K3" s="240"/>
    </row>
    <row r="4" spans="1:14" s="83" customFormat="1" x14ac:dyDescent="0.3">
      <c r="A4" s="83" t="s">
        <v>424</v>
      </c>
      <c r="D4" s="241"/>
      <c r="F4" s="240"/>
      <c r="G4" s="239"/>
      <c r="H4" s="239"/>
      <c r="I4" s="239"/>
      <c r="J4" s="239"/>
      <c r="K4" s="240"/>
    </row>
    <row r="5" spans="1:14" s="83" customFormat="1" x14ac:dyDescent="0.3">
      <c r="A5" s="83" t="s">
        <v>425</v>
      </c>
      <c r="D5" s="241"/>
      <c r="F5" s="240"/>
      <c r="G5" s="239"/>
      <c r="H5" s="239"/>
      <c r="I5" s="239"/>
      <c r="J5" s="239"/>
      <c r="K5" s="240"/>
    </row>
    <row r="6" spans="1:14" s="83" customFormat="1" x14ac:dyDescent="0.3">
      <c r="D6" s="241"/>
      <c r="F6" s="240"/>
      <c r="G6" s="239"/>
      <c r="H6" s="239"/>
      <c r="I6" s="239"/>
      <c r="J6" s="239"/>
      <c r="K6" s="240"/>
    </row>
    <row r="7" spans="1:14" s="83" customFormat="1" x14ac:dyDescent="0.3">
      <c r="A7" s="112" t="s">
        <v>415</v>
      </c>
      <c r="D7" s="241"/>
      <c r="F7" s="240"/>
      <c r="G7" s="239"/>
      <c r="H7" s="239"/>
      <c r="I7" s="239"/>
      <c r="J7" s="239"/>
      <c r="K7" s="240"/>
    </row>
    <row r="8" spans="1:14" s="83" customFormat="1" x14ac:dyDescent="0.3">
      <c r="D8" s="241"/>
      <c r="F8" s="240"/>
      <c r="G8" s="239"/>
      <c r="H8" s="239"/>
      <c r="I8" s="239"/>
      <c r="J8" s="239"/>
      <c r="K8" s="240"/>
    </row>
    <row r="9" spans="1:14" s="83" customFormat="1" x14ac:dyDescent="0.3">
      <c r="A9" s="92" t="s">
        <v>416</v>
      </c>
      <c r="B9" s="242">
        <f>'8. Kannattavuus'!B9</f>
        <v>0.05</v>
      </c>
      <c r="C9" s="86"/>
      <c r="D9" s="243" t="s">
        <v>421</v>
      </c>
      <c r="F9" s="240"/>
      <c r="G9" s="239"/>
      <c r="H9" s="239"/>
      <c r="I9" s="239"/>
      <c r="J9" s="239"/>
      <c r="K9" s="240"/>
    </row>
    <row r="10" spans="1:14" s="83" customFormat="1" x14ac:dyDescent="0.3">
      <c r="A10" s="135"/>
      <c r="B10" s="166"/>
      <c r="C10" s="166"/>
      <c r="D10" s="166"/>
      <c r="E10" s="166"/>
      <c r="F10" s="166"/>
      <c r="G10" s="244"/>
      <c r="H10" s="239"/>
      <c r="I10" s="239"/>
      <c r="J10" s="239"/>
      <c r="K10" s="240"/>
    </row>
    <row r="11" spans="1:14" s="135" customFormat="1" ht="13.8" x14ac:dyDescent="0.3">
      <c r="A11" s="134" t="s">
        <v>146</v>
      </c>
      <c r="B11" s="172" t="s">
        <v>147</v>
      </c>
      <c r="C11" s="172"/>
      <c r="D11" s="172" t="s">
        <v>56</v>
      </c>
      <c r="E11" s="172"/>
      <c r="F11" s="172" t="s">
        <v>173</v>
      </c>
      <c r="G11" s="244" t="s">
        <v>378</v>
      </c>
      <c r="H11" s="245" t="s">
        <v>417</v>
      </c>
      <c r="I11" s="245" t="s">
        <v>422</v>
      </c>
      <c r="J11" s="245"/>
      <c r="L11" s="135" t="s">
        <v>404</v>
      </c>
    </row>
    <row r="12" spans="1:14" s="93" customFormat="1" x14ac:dyDescent="0.3">
      <c r="A12" s="93" t="s">
        <v>148</v>
      </c>
      <c r="B12" s="89">
        <v>20</v>
      </c>
      <c r="C12" s="246"/>
      <c r="D12" s="247">
        <f>F12</f>
        <v>35200</v>
      </c>
      <c r="F12" s="248">
        <f>ROUND(IF('3. Tekniikka'!D8&gt;0,(26.491*'3. Tekniikka'!D8+28273)*1.08,0),-2)</f>
        <v>35200</v>
      </c>
      <c r="G12" s="239">
        <f>D12*($B$9*(1+$B$9)^B12)/((1+$B$9)^B12-1)</f>
        <v>2824.5390691123343</v>
      </c>
      <c r="H12" s="239">
        <f>I12*D12</f>
        <v>352</v>
      </c>
      <c r="I12" s="249">
        <v>0.01</v>
      </c>
      <c r="J12" s="249"/>
      <c r="K12" s="250"/>
      <c r="L12" s="115" t="s">
        <v>203</v>
      </c>
      <c r="M12" s="115"/>
      <c r="N12" s="115"/>
    </row>
    <row r="13" spans="1:14" s="93" customFormat="1" x14ac:dyDescent="0.3">
      <c r="A13" s="93" t="s">
        <v>149</v>
      </c>
      <c r="B13" s="89">
        <v>20</v>
      </c>
      <c r="C13" s="246"/>
      <c r="D13" s="247">
        <f t="shared" ref="D13:D53" si="0">F13</f>
        <v>0</v>
      </c>
      <c r="F13" s="248">
        <f>ROUND(IF('3. Tekniikka'!D9&gt;0,(26.491*'3. Tekniikka'!D9+28273)*1.08,0),-2)</f>
        <v>0</v>
      </c>
      <c r="G13" s="239">
        <f>D13*($B$9*(1+$B$9)^B13)/((1+$B$9)^B13-1)</f>
        <v>0</v>
      </c>
      <c r="H13" s="239">
        <f t="shared" ref="H13:H53" si="1">I13*D13</f>
        <v>0</v>
      </c>
      <c r="I13" s="249">
        <v>0.01</v>
      </c>
      <c r="J13" s="249"/>
      <c r="K13" s="250"/>
      <c r="L13" s="115" t="s">
        <v>203</v>
      </c>
      <c r="M13" s="115"/>
      <c r="N13" s="115"/>
    </row>
    <row r="14" spans="1:14" s="93" customFormat="1" x14ac:dyDescent="0.3">
      <c r="A14" s="251" t="s">
        <v>150</v>
      </c>
      <c r="B14" s="89">
        <v>20</v>
      </c>
      <c r="C14" s="246"/>
      <c r="D14" s="247">
        <f t="shared" si="0"/>
        <v>0</v>
      </c>
      <c r="E14" s="252"/>
      <c r="F14" s="253">
        <f>ROUND(IF('3. Tekniikka'!D10&gt;0,(26.491*'3. Tekniikka'!D10+28273)*1.08,0),-2)</f>
        <v>0</v>
      </c>
      <c r="G14" s="239">
        <f>D14*($B$9*(1+$B$9)^B14)/((1+$B$9)^B14-1)</f>
        <v>0</v>
      </c>
      <c r="H14" s="239">
        <f t="shared" si="1"/>
        <v>0</v>
      </c>
      <c r="I14" s="249">
        <v>0.01</v>
      </c>
      <c r="J14" s="249"/>
      <c r="K14" s="250"/>
      <c r="L14" s="115" t="s">
        <v>203</v>
      </c>
      <c r="M14" s="115"/>
      <c r="N14" s="115"/>
    </row>
    <row r="15" spans="1:14" s="93" customFormat="1" x14ac:dyDescent="0.3">
      <c r="A15" s="93" t="s">
        <v>174</v>
      </c>
      <c r="B15" s="89">
        <v>10</v>
      </c>
      <c r="C15" s="246"/>
      <c r="D15" s="247">
        <f t="shared" si="0"/>
        <v>6500</v>
      </c>
      <c r="F15" s="248">
        <f>ROUND(IF('3. Tekniikka'!E8="Kyllä",6480,0),-2)</f>
        <v>6500</v>
      </c>
      <c r="G15" s="239">
        <f>D15*($B$9*(1+$B$9)^B15)/((1+$B$9)^B15-1)</f>
        <v>841.77973727546851</v>
      </c>
      <c r="H15" s="239">
        <f t="shared" si="1"/>
        <v>130</v>
      </c>
      <c r="I15" s="249">
        <v>0.02</v>
      </c>
      <c r="J15" s="249"/>
      <c r="K15" s="250"/>
      <c r="L15" s="115" t="s">
        <v>204</v>
      </c>
      <c r="M15" s="115"/>
      <c r="N15" s="115"/>
    </row>
    <row r="16" spans="1:14" s="93" customFormat="1" x14ac:dyDescent="0.3">
      <c r="A16" s="93" t="s">
        <v>151</v>
      </c>
      <c r="B16" s="89">
        <v>10</v>
      </c>
      <c r="C16" s="246"/>
      <c r="D16" s="247">
        <f t="shared" si="0"/>
        <v>0</v>
      </c>
      <c r="F16" s="248">
        <f>ROUND(IF('3. Tekniikka'!E9="Kyllä",6480,0),-2)</f>
        <v>0</v>
      </c>
      <c r="G16" s="239">
        <f t="shared" ref="G16:G53" si="2">D16*($B$9*(1+$B$9)^B16)/((1+$B$9)^B16-1)</f>
        <v>0</v>
      </c>
      <c r="H16" s="239">
        <f t="shared" si="1"/>
        <v>0</v>
      </c>
      <c r="I16" s="249">
        <v>0.02</v>
      </c>
      <c r="J16" s="249"/>
      <c r="K16" s="250"/>
      <c r="L16" s="115" t="s">
        <v>204</v>
      </c>
      <c r="M16" s="115"/>
      <c r="N16" s="115"/>
    </row>
    <row r="17" spans="1:14" s="93" customFormat="1" x14ac:dyDescent="0.3">
      <c r="A17" s="251" t="s">
        <v>152</v>
      </c>
      <c r="B17" s="89">
        <v>10</v>
      </c>
      <c r="C17" s="246"/>
      <c r="D17" s="247">
        <f t="shared" si="0"/>
        <v>0</v>
      </c>
      <c r="E17" s="251"/>
      <c r="F17" s="253">
        <f>ROUND(IF('3. Tekniikka'!E10="Kyllä",6480,0),-2)</f>
        <v>0</v>
      </c>
      <c r="G17" s="239">
        <f t="shared" si="2"/>
        <v>0</v>
      </c>
      <c r="H17" s="239">
        <f t="shared" si="1"/>
        <v>0</v>
      </c>
      <c r="I17" s="249">
        <v>0.02</v>
      </c>
      <c r="J17" s="249"/>
      <c r="K17" s="250"/>
      <c r="L17" s="115" t="s">
        <v>204</v>
      </c>
      <c r="M17" s="115"/>
      <c r="N17" s="115"/>
    </row>
    <row r="18" spans="1:14" s="93" customFormat="1" x14ac:dyDescent="0.3">
      <c r="A18" s="93" t="s">
        <v>153</v>
      </c>
      <c r="B18" s="89">
        <v>10</v>
      </c>
      <c r="C18" s="246"/>
      <c r="D18" s="247">
        <f t="shared" si="0"/>
        <v>11300</v>
      </c>
      <c r="F18" s="248">
        <f>ROUND(IF('3. Tekniikka'!F8="Kyllä",11340,0),-2)</f>
        <v>11300</v>
      </c>
      <c r="G18" s="239">
        <f t="shared" si="2"/>
        <v>1463.4016971096605</v>
      </c>
      <c r="H18" s="239">
        <f t="shared" si="1"/>
        <v>565</v>
      </c>
      <c r="I18" s="249">
        <v>0.05</v>
      </c>
      <c r="J18" s="249"/>
      <c r="K18" s="250"/>
      <c r="L18" s="115" t="s">
        <v>205</v>
      </c>
      <c r="M18" s="115"/>
      <c r="N18" s="115"/>
    </row>
    <row r="19" spans="1:14" s="93" customFormat="1" x14ac:dyDescent="0.3">
      <c r="A19" s="93" t="s">
        <v>154</v>
      </c>
      <c r="B19" s="89">
        <v>10</v>
      </c>
      <c r="C19" s="246"/>
      <c r="D19" s="247">
        <f t="shared" si="0"/>
        <v>0</v>
      </c>
      <c r="F19" s="248">
        <f>IF('3. Tekniikka'!F9="Kyllä",11340,0)</f>
        <v>0</v>
      </c>
      <c r="G19" s="239">
        <f t="shared" si="2"/>
        <v>0</v>
      </c>
      <c r="H19" s="239">
        <f t="shared" si="1"/>
        <v>0</v>
      </c>
      <c r="I19" s="249">
        <v>0.05</v>
      </c>
      <c r="J19" s="249"/>
      <c r="K19" s="250"/>
      <c r="L19" s="115" t="s">
        <v>205</v>
      </c>
      <c r="M19" s="115"/>
      <c r="N19" s="115"/>
    </row>
    <row r="20" spans="1:14" s="93" customFormat="1" x14ac:dyDescent="0.3">
      <c r="A20" s="251" t="s">
        <v>155</v>
      </c>
      <c r="B20" s="89">
        <v>10</v>
      </c>
      <c r="C20" s="246"/>
      <c r="D20" s="247">
        <f t="shared" si="0"/>
        <v>0</v>
      </c>
      <c r="E20" s="252"/>
      <c r="F20" s="253">
        <f>IF('3. Tekniikka'!F10="Kyllä",11340,0)</f>
        <v>0</v>
      </c>
      <c r="G20" s="239">
        <f t="shared" si="2"/>
        <v>0</v>
      </c>
      <c r="H20" s="239">
        <f t="shared" si="1"/>
        <v>0</v>
      </c>
      <c r="I20" s="249">
        <v>0.05</v>
      </c>
      <c r="J20" s="249"/>
      <c r="K20" s="250"/>
      <c r="L20" s="115" t="s">
        <v>205</v>
      </c>
      <c r="M20" s="115"/>
      <c r="N20" s="115"/>
    </row>
    <row r="21" spans="1:14" s="93" customFormat="1" x14ac:dyDescent="0.3">
      <c r="A21" s="93" t="s">
        <v>206</v>
      </c>
      <c r="B21" s="89">
        <v>20</v>
      </c>
      <c r="C21" s="246"/>
      <c r="D21" s="247">
        <f t="shared" si="0"/>
        <v>13900</v>
      </c>
      <c r="F21" s="248">
        <f>ROUND(IF('3. Tekniikka'!D17&gt;0,(43.863*'3. Tekniikka'!D17+10435)*1.08,0),-2)</f>
        <v>13900</v>
      </c>
      <c r="G21" s="239">
        <f t="shared" si="2"/>
        <v>1115.3719619506094</v>
      </c>
      <c r="H21" s="239">
        <f t="shared" si="1"/>
        <v>139</v>
      </c>
      <c r="I21" s="249">
        <v>0.01</v>
      </c>
      <c r="J21" s="249"/>
      <c r="K21" s="250"/>
      <c r="L21" s="115" t="s">
        <v>212</v>
      </c>
      <c r="M21" s="115"/>
      <c r="N21" s="115"/>
    </row>
    <row r="22" spans="1:14" s="93" customFormat="1" x14ac:dyDescent="0.3">
      <c r="A22" s="93" t="s">
        <v>207</v>
      </c>
      <c r="B22" s="89">
        <v>20</v>
      </c>
      <c r="C22" s="246"/>
      <c r="D22" s="247">
        <f t="shared" si="0"/>
        <v>0</v>
      </c>
      <c r="F22" s="248">
        <f>ROUND(IF('3. Tekniikka'!D18&gt;0,(43.863*'3. Tekniikka'!D18+10435)*1.08,0),-2)</f>
        <v>0</v>
      </c>
      <c r="G22" s="239">
        <f t="shared" si="2"/>
        <v>0</v>
      </c>
      <c r="H22" s="239">
        <f t="shared" si="1"/>
        <v>0</v>
      </c>
      <c r="I22" s="249">
        <v>0.01</v>
      </c>
      <c r="J22" s="249"/>
      <c r="K22" s="250"/>
      <c r="L22" s="115" t="s">
        <v>212</v>
      </c>
      <c r="M22" s="115"/>
      <c r="N22" s="115"/>
    </row>
    <row r="23" spans="1:14" s="93" customFormat="1" x14ac:dyDescent="0.3">
      <c r="A23" s="251" t="s">
        <v>208</v>
      </c>
      <c r="B23" s="89">
        <v>20</v>
      </c>
      <c r="C23" s="246"/>
      <c r="D23" s="247">
        <f t="shared" si="0"/>
        <v>0</v>
      </c>
      <c r="E23" s="252"/>
      <c r="F23" s="253">
        <f>ROUND(IF('3. Tekniikka'!D19&gt;0,(43.863*'3. Tekniikka'!D19+10435)*1.08,0),-2)</f>
        <v>0</v>
      </c>
      <c r="G23" s="239">
        <f t="shared" si="2"/>
        <v>0</v>
      </c>
      <c r="H23" s="239">
        <f t="shared" si="1"/>
        <v>0</v>
      </c>
      <c r="I23" s="249">
        <v>0.01</v>
      </c>
      <c r="J23" s="249"/>
      <c r="K23" s="250"/>
      <c r="L23" s="115" t="s">
        <v>212</v>
      </c>
      <c r="M23" s="115"/>
      <c r="N23" s="115"/>
    </row>
    <row r="24" spans="1:14" s="93" customFormat="1" x14ac:dyDescent="0.3">
      <c r="A24" s="93" t="s">
        <v>209</v>
      </c>
      <c r="B24" s="89">
        <v>20</v>
      </c>
      <c r="C24" s="246"/>
      <c r="D24" s="247">
        <f t="shared" si="0"/>
        <v>0</v>
      </c>
      <c r="F24" s="248">
        <f>ROUND(IF('3. Tekniikka'!D21&gt;0,(87.727*'3. Tekniikka'!D21+20870)*1.08,0),-2)</f>
        <v>0</v>
      </c>
      <c r="G24" s="239">
        <f t="shared" si="2"/>
        <v>0</v>
      </c>
      <c r="H24" s="239">
        <f t="shared" si="1"/>
        <v>0</v>
      </c>
      <c r="I24" s="249">
        <v>0.01</v>
      </c>
      <c r="J24" s="249"/>
      <c r="K24" s="250"/>
      <c r="L24" s="115" t="s">
        <v>213</v>
      </c>
      <c r="M24" s="115"/>
      <c r="N24" s="115"/>
    </row>
    <row r="25" spans="1:14" s="93" customFormat="1" x14ac:dyDescent="0.3">
      <c r="A25" s="93" t="s">
        <v>210</v>
      </c>
      <c r="B25" s="89">
        <v>20</v>
      </c>
      <c r="C25" s="246"/>
      <c r="D25" s="247">
        <f t="shared" si="0"/>
        <v>0</v>
      </c>
      <c r="F25" s="248">
        <f>ROUND(IF('3. Tekniikka'!D22&gt;0,(87.727*'3. Tekniikka'!D22+20870)*1.08,0),-2)</f>
        <v>0</v>
      </c>
      <c r="G25" s="239">
        <f t="shared" si="2"/>
        <v>0</v>
      </c>
      <c r="H25" s="239">
        <f t="shared" si="1"/>
        <v>0</v>
      </c>
      <c r="I25" s="249">
        <v>0.01</v>
      </c>
      <c r="J25" s="249"/>
      <c r="K25" s="250"/>
      <c r="L25" s="115" t="s">
        <v>213</v>
      </c>
      <c r="M25" s="115"/>
      <c r="N25" s="115"/>
    </row>
    <row r="26" spans="1:14" s="93" customFormat="1" x14ac:dyDescent="0.3">
      <c r="A26" s="251" t="s">
        <v>211</v>
      </c>
      <c r="B26" s="89">
        <v>20</v>
      </c>
      <c r="C26" s="246"/>
      <c r="D26" s="247">
        <f t="shared" si="0"/>
        <v>0</v>
      </c>
      <c r="E26" s="252"/>
      <c r="F26" s="253">
        <f>ROUND(IF('3. Tekniikka'!D23&gt;0,(87.727*'3. Tekniikka'!D23+20870)*1.08,0),-2)</f>
        <v>0</v>
      </c>
      <c r="G26" s="239">
        <f t="shared" si="2"/>
        <v>0</v>
      </c>
      <c r="H26" s="239">
        <f t="shared" si="1"/>
        <v>0</v>
      </c>
      <c r="I26" s="249">
        <v>0.01</v>
      </c>
      <c r="J26" s="249"/>
      <c r="K26" s="250"/>
      <c r="L26" s="115" t="s">
        <v>213</v>
      </c>
      <c r="M26" s="115"/>
      <c r="N26" s="115"/>
    </row>
    <row r="27" spans="1:14" s="93" customFormat="1" x14ac:dyDescent="0.3">
      <c r="A27" s="93" t="s">
        <v>156</v>
      </c>
      <c r="B27" s="89">
        <v>15</v>
      </c>
      <c r="C27" s="246"/>
      <c r="D27" s="247">
        <f t="shared" si="0"/>
        <v>66600</v>
      </c>
      <c r="F27" s="248">
        <v>66600</v>
      </c>
      <c r="G27" s="239">
        <f t="shared" si="2"/>
        <v>6416.3963547756739</v>
      </c>
      <c r="H27" s="239">
        <f t="shared" si="1"/>
        <v>3330</v>
      </c>
      <c r="I27" s="249">
        <v>0.05</v>
      </c>
      <c r="J27" s="249"/>
      <c r="K27" s="250"/>
      <c r="L27" s="115" t="s">
        <v>217</v>
      </c>
      <c r="M27" s="115">
        <f>61700*1.08</f>
        <v>66636</v>
      </c>
      <c r="N27" s="115"/>
    </row>
    <row r="28" spans="1:14" s="93" customFormat="1" x14ac:dyDescent="0.3">
      <c r="A28" s="93" t="s">
        <v>157</v>
      </c>
      <c r="B28" s="89">
        <v>20</v>
      </c>
      <c r="C28" s="246"/>
      <c r="D28" s="247">
        <f t="shared" si="0"/>
        <v>148300</v>
      </c>
      <c r="F28" s="248">
        <f>ROUND((84.55125*'3. Tekniikka'!B33+80599.05)*1.08,-2)</f>
        <v>148300</v>
      </c>
      <c r="G28" s="239">
        <f t="shared" si="2"/>
        <v>11899.975680379523</v>
      </c>
      <c r="H28" s="239">
        <f t="shared" si="1"/>
        <v>1483</v>
      </c>
      <c r="I28" s="249">
        <v>0.01</v>
      </c>
      <c r="J28" s="249"/>
      <c r="K28" s="250"/>
      <c r="L28" s="115" t="s">
        <v>222</v>
      </c>
      <c r="M28" s="115"/>
      <c r="N28" s="115"/>
    </row>
    <row r="29" spans="1:14" s="93" customFormat="1" x14ac:dyDescent="0.3">
      <c r="A29" s="93" t="s">
        <v>58</v>
      </c>
      <c r="B29" s="89">
        <v>10</v>
      </c>
      <c r="C29" s="246"/>
      <c r="D29" s="247">
        <f t="shared" si="0"/>
        <v>17300</v>
      </c>
      <c r="F29" s="248">
        <f>ROUND((13.2132*'3. Tekniikka'!B33+7150.185)*1.08,-2)</f>
        <v>17300</v>
      </c>
      <c r="G29" s="239">
        <f t="shared" si="2"/>
        <v>2240.429146902401</v>
      </c>
      <c r="H29" s="239">
        <f t="shared" si="1"/>
        <v>865</v>
      </c>
      <c r="I29" s="249">
        <v>0.05</v>
      </c>
      <c r="J29" s="249"/>
      <c r="K29" s="250"/>
      <c r="L29" s="115" t="s">
        <v>236</v>
      </c>
      <c r="M29" s="115"/>
      <c r="N29" s="115"/>
    </row>
    <row r="30" spans="1:14" s="93" customFormat="1" x14ac:dyDescent="0.3">
      <c r="A30" s="93" t="s">
        <v>158</v>
      </c>
      <c r="B30" s="89">
        <v>20</v>
      </c>
      <c r="C30" s="246"/>
      <c r="D30" s="247">
        <f t="shared" si="0"/>
        <v>0</v>
      </c>
      <c r="F30" s="248">
        <v>0</v>
      </c>
      <c r="G30" s="239">
        <f t="shared" si="2"/>
        <v>0</v>
      </c>
      <c r="H30" s="239">
        <f t="shared" si="1"/>
        <v>0</v>
      </c>
      <c r="I30" s="249">
        <v>0.01</v>
      </c>
      <c r="J30" s="249"/>
      <c r="K30" s="250"/>
      <c r="L30" s="115" t="s">
        <v>397</v>
      </c>
      <c r="M30" s="115"/>
      <c r="N30" s="115"/>
    </row>
    <row r="31" spans="1:14" s="93" customFormat="1" x14ac:dyDescent="0.3">
      <c r="A31" s="93" t="s">
        <v>77</v>
      </c>
      <c r="B31" s="89">
        <v>10</v>
      </c>
      <c r="C31" s="246"/>
      <c r="D31" s="247">
        <f t="shared" si="0"/>
        <v>0</v>
      </c>
      <c r="F31" s="248">
        <v>0</v>
      </c>
      <c r="G31" s="239">
        <f t="shared" si="2"/>
        <v>0</v>
      </c>
      <c r="H31" s="239">
        <f t="shared" si="1"/>
        <v>0</v>
      </c>
      <c r="I31" s="249">
        <v>0.05</v>
      </c>
      <c r="J31" s="249"/>
      <c r="K31" s="250"/>
      <c r="L31" s="115" t="s">
        <v>398</v>
      </c>
      <c r="M31" s="115"/>
      <c r="N31" s="115"/>
    </row>
    <row r="32" spans="1:14" s="93" customFormat="1" x14ac:dyDescent="0.3">
      <c r="A32" s="93" t="s">
        <v>159</v>
      </c>
      <c r="B32" s="89">
        <v>10</v>
      </c>
      <c r="C32" s="246"/>
      <c r="D32" s="247">
        <f t="shared" si="0"/>
        <v>61100</v>
      </c>
      <c r="F32" s="248">
        <f>ROUND(56600*1.08,-2)</f>
        <v>61100</v>
      </c>
      <c r="G32" s="239">
        <f t="shared" si="2"/>
        <v>7912.7295303894043</v>
      </c>
      <c r="H32" s="239">
        <f t="shared" si="1"/>
        <v>3055</v>
      </c>
      <c r="I32" s="249">
        <v>0.05</v>
      </c>
      <c r="J32" s="249"/>
      <c r="K32" s="250"/>
      <c r="L32" s="115" t="s">
        <v>399</v>
      </c>
      <c r="M32" s="115"/>
      <c r="N32" s="115"/>
    </row>
    <row r="33" spans="1:14" s="93" customFormat="1" x14ac:dyDescent="0.3">
      <c r="A33" s="93" t="s">
        <v>160</v>
      </c>
      <c r="B33" s="89">
        <v>20</v>
      </c>
      <c r="C33" s="246"/>
      <c r="D33" s="247">
        <f t="shared" si="0"/>
        <v>43500</v>
      </c>
      <c r="F33" s="248">
        <f>ROUND((3.34257*'3. Tekniikka'!B33+38007.9)*1.08,-2)</f>
        <v>43500</v>
      </c>
      <c r="G33" s="239">
        <f t="shared" si="2"/>
        <v>3490.5525427950724</v>
      </c>
      <c r="H33" s="239">
        <f t="shared" si="1"/>
        <v>435</v>
      </c>
      <c r="I33" s="249">
        <v>0.01</v>
      </c>
      <c r="J33" s="249"/>
      <c r="K33" s="250"/>
      <c r="L33" s="115" t="s">
        <v>400</v>
      </c>
      <c r="M33" s="115"/>
      <c r="N33" s="115"/>
    </row>
    <row r="34" spans="1:14" s="93" customFormat="1" x14ac:dyDescent="0.3">
      <c r="A34" s="93" t="s">
        <v>161</v>
      </c>
      <c r="B34" s="89">
        <v>15</v>
      </c>
      <c r="C34" s="246"/>
      <c r="D34" s="247">
        <f t="shared" si="0"/>
        <v>9900</v>
      </c>
      <c r="F34" s="248">
        <f>ROUND((105*'4. Energia'!F12+6562.5)*1.08,-2)</f>
        <v>9900</v>
      </c>
      <c r="G34" s="239">
        <f t="shared" si="2"/>
        <v>953.78864733151909</v>
      </c>
      <c r="H34" s="239">
        <f t="shared" si="1"/>
        <v>198</v>
      </c>
      <c r="I34" s="249">
        <v>0.02</v>
      </c>
      <c r="J34" s="249"/>
      <c r="K34" s="250"/>
      <c r="L34" s="115" t="s">
        <v>401</v>
      </c>
      <c r="M34" s="115"/>
      <c r="N34" s="115"/>
    </row>
    <row r="35" spans="1:14" s="93" customFormat="1" x14ac:dyDescent="0.3">
      <c r="A35" s="93" t="s">
        <v>60</v>
      </c>
      <c r="B35" s="89">
        <v>20</v>
      </c>
      <c r="C35" s="246"/>
      <c r="D35" s="247">
        <f t="shared" si="0"/>
        <v>49700</v>
      </c>
      <c r="F35" s="248">
        <f>ROUND(46000*1.08,-2)</f>
        <v>49700</v>
      </c>
      <c r="G35" s="239">
        <f t="shared" si="2"/>
        <v>3988.0565833773589</v>
      </c>
      <c r="H35" s="239">
        <f t="shared" si="1"/>
        <v>994</v>
      </c>
      <c r="I35" s="249">
        <v>0.02</v>
      </c>
      <c r="J35" s="249"/>
      <c r="K35" s="250"/>
      <c r="L35" s="115" t="s">
        <v>402</v>
      </c>
      <c r="M35" s="115"/>
      <c r="N35" s="115"/>
    </row>
    <row r="36" spans="1:14" s="93" customFormat="1" x14ac:dyDescent="0.3">
      <c r="A36" s="93" t="s">
        <v>162</v>
      </c>
      <c r="B36" s="89">
        <v>10</v>
      </c>
      <c r="C36" s="246"/>
      <c r="D36" s="247">
        <f t="shared" si="0"/>
        <v>145000</v>
      </c>
      <c r="F36" s="248">
        <f>ROUND(IF('4. Energia'!D15&gt;0,(2388.225*EXP(-0.003*'4. Energia'!F15)*'4. Energia'!F15+45950)*1.08,0),-2)</f>
        <v>145000</v>
      </c>
      <c r="G36" s="239">
        <f t="shared" si="2"/>
        <v>18778.16336999122</v>
      </c>
      <c r="H36" s="239">
        <f>'7. Tuotot ja kulut'!G38</f>
        <v>4777.237657049619</v>
      </c>
      <c r="I36" s="254">
        <f>'7. Tuotot ja kulut'!E38</f>
        <v>13</v>
      </c>
      <c r="J36" s="232" t="s">
        <v>598</v>
      </c>
      <c r="K36" s="255"/>
      <c r="L36" s="115" t="s">
        <v>403</v>
      </c>
      <c r="M36" s="115"/>
      <c r="N36" s="115"/>
    </row>
    <row r="37" spans="1:14" s="93" customFormat="1" ht="15.6" x14ac:dyDescent="0.3">
      <c r="A37" s="93" t="s">
        <v>61</v>
      </c>
      <c r="B37" s="89">
        <v>20</v>
      </c>
      <c r="C37" s="246"/>
      <c r="D37" s="247">
        <f t="shared" si="0"/>
        <v>84600</v>
      </c>
      <c r="F37" s="248">
        <f>ROUND((10.282125*'3. Tekniikka'!B33+71452.5)*1.08,-2)</f>
        <v>84600</v>
      </c>
      <c r="G37" s="239">
        <f t="shared" si="2"/>
        <v>6788.5228763324849</v>
      </c>
      <c r="H37" s="239">
        <f t="shared" si="1"/>
        <v>0</v>
      </c>
      <c r="I37" s="249">
        <v>0</v>
      </c>
      <c r="J37" s="249"/>
      <c r="K37" s="250"/>
      <c r="L37" s="115" t="s">
        <v>436</v>
      </c>
      <c r="M37" s="115"/>
      <c r="N37" s="115"/>
    </row>
    <row r="38" spans="1:14" s="93" customFormat="1" ht="15.6" x14ac:dyDescent="0.3">
      <c r="A38" s="93" t="s">
        <v>163</v>
      </c>
      <c r="B38" s="89">
        <v>20</v>
      </c>
      <c r="C38" s="246"/>
      <c r="D38" s="247">
        <f t="shared" si="0"/>
        <v>49000</v>
      </c>
      <c r="F38" s="248">
        <f>ROUND((5.95371*'3. Tekniikka'!B33+41373.15)*1.08,-2)</f>
        <v>49000</v>
      </c>
      <c r="G38" s="239">
        <f t="shared" si="2"/>
        <v>3931.8867723438743</v>
      </c>
      <c r="H38" s="239">
        <f t="shared" si="1"/>
        <v>0</v>
      </c>
      <c r="I38" s="249">
        <v>0</v>
      </c>
      <c r="J38" s="249"/>
      <c r="K38" s="250"/>
      <c r="L38" s="115" t="s">
        <v>437</v>
      </c>
      <c r="M38" s="115"/>
      <c r="N38" s="115"/>
    </row>
    <row r="39" spans="1:14" s="93" customFormat="1" x14ac:dyDescent="0.3">
      <c r="A39" s="93" t="s">
        <v>406</v>
      </c>
      <c r="B39" s="89">
        <v>20</v>
      </c>
      <c r="C39" s="246"/>
      <c r="D39" s="247">
        <f t="shared" si="0"/>
        <v>0</v>
      </c>
      <c r="F39" s="248">
        <v>0</v>
      </c>
      <c r="G39" s="239">
        <f t="shared" si="2"/>
        <v>0</v>
      </c>
      <c r="H39" s="239">
        <f t="shared" si="1"/>
        <v>0</v>
      </c>
      <c r="I39" s="249">
        <v>0</v>
      </c>
      <c r="J39" s="249"/>
      <c r="K39" s="250"/>
      <c r="L39" s="115" t="s">
        <v>408</v>
      </c>
      <c r="M39" s="115"/>
      <c r="N39" s="115"/>
    </row>
    <row r="40" spans="1:14" s="93" customFormat="1" ht="15.6" x14ac:dyDescent="0.3">
      <c r="A40" s="93" t="s">
        <v>164</v>
      </c>
      <c r="B40" s="89">
        <v>20</v>
      </c>
      <c r="C40" s="246"/>
      <c r="D40" s="247">
        <f t="shared" si="0"/>
        <v>23300</v>
      </c>
      <c r="F40" s="248">
        <f>ROUND((1.011045*'3. Tekniikka'!B33+20887.65)*1.08,-2)</f>
        <v>23300</v>
      </c>
      <c r="G40" s="239">
        <f t="shared" si="2"/>
        <v>1869.6522815431076</v>
      </c>
      <c r="H40" s="239">
        <f t="shared" si="1"/>
        <v>0</v>
      </c>
      <c r="I40" s="249">
        <v>0</v>
      </c>
      <c r="J40" s="249"/>
      <c r="K40" s="250"/>
      <c r="L40" s="115" t="s">
        <v>438</v>
      </c>
      <c r="M40" s="115"/>
      <c r="N40" s="115"/>
    </row>
    <row r="41" spans="1:14" s="93" customFormat="1" x14ac:dyDescent="0.3">
      <c r="A41" s="256" t="s">
        <v>407</v>
      </c>
      <c r="B41" s="89">
        <v>12</v>
      </c>
      <c r="C41" s="246"/>
      <c r="D41" s="247">
        <f t="shared" si="0"/>
        <v>0</v>
      </c>
      <c r="F41" s="248">
        <f>IF(OR('3. Tekniikka'!B38="Ruuviseparointi",'2. Laitostyyppi'!B13&gt;0),54000,0)</f>
        <v>0</v>
      </c>
      <c r="G41" s="239">
        <f t="shared" si="2"/>
        <v>0</v>
      </c>
      <c r="H41" s="239">
        <f t="shared" si="1"/>
        <v>0</v>
      </c>
      <c r="I41" s="249">
        <v>0.05</v>
      </c>
      <c r="J41" s="249"/>
      <c r="K41" s="250"/>
      <c r="L41" s="115" t="s">
        <v>409</v>
      </c>
      <c r="M41" s="115"/>
      <c r="N41" s="115"/>
    </row>
    <row r="42" spans="1:14" s="93" customFormat="1" x14ac:dyDescent="0.3">
      <c r="A42" s="257" t="s">
        <v>600</v>
      </c>
      <c r="B42" s="89">
        <v>12</v>
      </c>
      <c r="C42" s="246"/>
      <c r="D42" s="247">
        <f t="shared" si="0"/>
        <v>0</v>
      </c>
      <c r="F42" s="248">
        <f>IF('3. Tekniikka'!B38="Linkoseparointi",100000,0)</f>
        <v>0</v>
      </c>
      <c r="G42" s="239">
        <f>D42*($B$9*(1+$B$9)^B42)/((1+$B$9)^B42-1)</f>
        <v>0</v>
      </c>
      <c r="H42" s="239">
        <f t="shared" si="1"/>
        <v>0</v>
      </c>
      <c r="I42" s="249">
        <v>0.05</v>
      </c>
      <c r="J42" s="249"/>
      <c r="K42" s="250"/>
      <c r="L42" s="115"/>
      <c r="M42" s="115"/>
      <c r="N42" s="115"/>
    </row>
    <row r="43" spans="1:14" s="93" customFormat="1" x14ac:dyDescent="0.3">
      <c r="A43" s="93" t="s">
        <v>165</v>
      </c>
      <c r="B43" s="89">
        <v>20</v>
      </c>
      <c r="C43" s="246"/>
      <c r="D43" s="247">
        <f t="shared" si="0"/>
        <v>0</v>
      </c>
      <c r="F43" s="248">
        <f>IF('4. Energia'!D16+'4. Energia'!D17&gt;0,ROUND((2720.5*(('4. Energia'!B16+'4. Energia'!B17)/100*'4. Energia'!B5/365/24)+114812)*1.05,-2),0)</f>
        <v>0</v>
      </c>
      <c r="G43" s="239">
        <f>D43*($B$9*(1+$B$9)^B43)/((1+$B$9)^B43-1)</f>
        <v>0</v>
      </c>
      <c r="H43" s="239">
        <f t="shared" si="1"/>
        <v>0</v>
      </c>
      <c r="I43" s="249">
        <v>0.03</v>
      </c>
      <c r="J43" s="249"/>
      <c r="K43" s="249"/>
      <c r="L43" s="115" t="s">
        <v>410</v>
      </c>
      <c r="M43" s="115"/>
      <c r="N43" s="115"/>
    </row>
    <row r="44" spans="1:14" s="93" customFormat="1" x14ac:dyDescent="0.3">
      <c r="A44" s="93" t="s">
        <v>176</v>
      </c>
      <c r="B44" s="89">
        <v>20</v>
      </c>
      <c r="C44" s="246"/>
      <c r="D44" s="247">
        <f t="shared" si="0"/>
        <v>0</v>
      </c>
      <c r="F44" s="248">
        <f>IF('4. Energia'!D17&gt;0,ROUND(120000*1.05,-2),0)</f>
        <v>0</v>
      </c>
      <c r="G44" s="239">
        <f t="shared" si="2"/>
        <v>0</v>
      </c>
      <c r="H44" s="239">
        <f t="shared" si="1"/>
        <v>0</v>
      </c>
      <c r="I44" s="249">
        <v>0.03</v>
      </c>
      <c r="J44" s="115" t="s">
        <v>443</v>
      </c>
      <c r="K44" s="115"/>
      <c r="L44" s="115" t="s">
        <v>442</v>
      </c>
      <c r="M44" s="115"/>
      <c r="N44" s="115">
        <f>150*24*365</f>
        <v>1314000</v>
      </c>
    </row>
    <row r="45" spans="1:14" s="93" customFormat="1" x14ac:dyDescent="0.3">
      <c r="A45" s="93" t="s">
        <v>166</v>
      </c>
      <c r="B45" s="89">
        <v>20</v>
      </c>
      <c r="C45" s="246"/>
      <c r="D45" s="247">
        <f>F45</f>
        <v>50000</v>
      </c>
      <c r="F45" s="248">
        <f>1000*50</f>
        <v>50000</v>
      </c>
      <c r="G45" s="239">
        <f t="shared" si="2"/>
        <v>4012.129359534566</v>
      </c>
      <c r="H45" s="239">
        <f t="shared" si="1"/>
        <v>0</v>
      </c>
      <c r="I45" s="249">
        <v>0</v>
      </c>
      <c r="J45" s="249"/>
      <c r="K45" s="250"/>
      <c r="L45" s="115" t="s">
        <v>414</v>
      </c>
      <c r="M45" s="115"/>
      <c r="N45" s="115"/>
    </row>
    <row r="46" spans="1:14" s="93" customFormat="1" x14ac:dyDescent="0.3">
      <c r="A46" s="93" t="s">
        <v>62</v>
      </c>
      <c r="B46" s="89">
        <v>20</v>
      </c>
      <c r="C46" s="246"/>
      <c r="D46" s="247">
        <f>F46</f>
        <v>10800</v>
      </c>
      <c r="F46" s="248">
        <f>ROUND(10000*1.08,-2)</f>
        <v>10800</v>
      </c>
      <c r="G46" s="239">
        <f t="shared" si="2"/>
        <v>866.61994165946635</v>
      </c>
      <c r="H46" s="239">
        <f t="shared" si="1"/>
        <v>0</v>
      </c>
      <c r="I46" s="249">
        <v>0</v>
      </c>
      <c r="J46" s="249"/>
      <c r="K46" s="250"/>
      <c r="L46" s="115" t="s">
        <v>408</v>
      </c>
      <c r="M46" s="115"/>
      <c r="N46" s="115"/>
    </row>
    <row r="47" spans="1:14" s="93" customFormat="1" x14ac:dyDescent="0.3">
      <c r="A47" s="93" t="s">
        <v>413</v>
      </c>
      <c r="B47" s="89">
        <v>15</v>
      </c>
      <c r="C47" s="246"/>
      <c r="D47" s="247">
        <f t="shared" si="0"/>
        <v>0</v>
      </c>
      <c r="F47" s="248">
        <f>ROUND(IF('3. Tekniikka'!B50&gt;0,(2680.2*'3. Tekniikka'!B50+44113)*1.08,0),-2)</f>
        <v>0</v>
      </c>
      <c r="G47" s="239">
        <f t="shared" si="2"/>
        <v>0</v>
      </c>
      <c r="H47" s="239">
        <f t="shared" si="1"/>
        <v>0</v>
      </c>
      <c r="I47" s="249">
        <v>0.05</v>
      </c>
      <c r="J47" s="249"/>
      <c r="K47" s="250"/>
      <c r="L47" s="115">
        <v>50</v>
      </c>
      <c r="M47" s="115"/>
      <c r="N47" s="115"/>
    </row>
    <row r="48" spans="1:14" s="93" customFormat="1" x14ac:dyDescent="0.3">
      <c r="A48" s="93" t="s">
        <v>169</v>
      </c>
      <c r="B48" s="89">
        <v>10</v>
      </c>
      <c r="C48" s="246"/>
      <c r="D48" s="247">
        <f t="shared" si="0"/>
        <v>0</v>
      </c>
      <c r="F48" s="248">
        <v>0</v>
      </c>
      <c r="G48" s="239">
        <f t="shared" si="2"/>
        <v>0</v>
      </c>
      <c r="H48" s="239">
        <f t="shared" si="1"/>
        <v>0</v>
      </c>
      <c r="I48" s="249">
        <v>0.05</v>
      </c>
      <c r="J48" s="249"/>
      <c r="K48" s="250"/>
      <c r="L48" s="115"/>
      <c r="M48" s="115"/>
      <c r="N48" s="115"/>
    </row>
    <row r="49" spans="1:14" s="93" customFormat="1" x14ac:dyDescent="0.3">
      <c r="A49" s="93" t="s">
        <v>412</v>
      </c>
      <c r="B49" s="89">
        <v>20</v>
      </c>
      <c r="C49" s="246"/>
      <c r="D49" s="247">
        <f t="shared" si="0"/>
        <v>0</v>
      </c>
      <c r="F49" s="248">
        <v>0</v>
      </c>
      <c r="G49" s="239">
        <f t="shared" si="2"/>
        <v>0</v>
      </c>
      <c r="H49" s="239">
        <f t="shared" si="1"/>
        <v>0</v>
      </c>
      <c r="I49" s="249">
        <v>0.01</v>
      </c>
      <c r="J49" s="249"/>
      <c r="K49" s="250"/>
      <c r="L49" s="115"/>
      <c r="M49" s="115"/>
      <c r="N49" s="115"/>
    </row>
    <row r="50" spans="1:14" s="93" customFormat="1" x14ac:dyDescent="0.3">
      <c r="A50" s="113" t="s">
        <v>405</v>
      </c>
      <c r="B50" s="89">
        <v>20</v>
      </c>
      <c r="C50" s="246"/>
      <c r="D50" s="247">
        <f t="shared" si="0"/>
        <v>0</v>
      </c>
      <c r="F50" s="248">
        <v>0</v>
      </c>
      <c r="G50" s="239">
        <f t="shared" si="2"/>
        <v>0</v>
      </c>
      <c r="H50" s="239">
        <f t="shared" si="1"/>
        <v>0</v>
      </c>
      <c r="I50" s="249">
        <v>0.01</v>
      </c>
      <c r="J50" s="249"/>
      <c r="K50" s="250"/>
      <c r="L50" s="115"/>
      <c r="M50" s="115"/>
      <c r="N50" s="115"/>
    </row>
    <row r="51" spans="1:14" s="93" customFormat="1" x14ac:dyDescent="0.3">
      <c r="A51" s="93" t="s">
        <v>167</v>
      </c>
      <c r="B51" s="89">
        <v>15</v>
      </c>
      <c r="C51" s="246"/>
      <c r="D51" s="247">
        <f t="shared" si="0"/>
        <v>0</v>
      </c>
      <c r="F51" s="248">
        <v>0</v>
      </c>
      <c r="G51" s="239">
        <f t="shared" si="2"/>
        <v>0</v>
      </c>
      <c r="H51" s="239">
        <f t="shared" si="1"/>
        <v>0</v>
      </c>
      <c r="I51" s="249">
        <v>0.01</v>
      </c>
      <c r="J51" s="249"/>
      <c r="K51" s="250"/>
      <c r="L51" s="115"/>
      <c r="M51" s="115"/>
      <c r="N51" s="115"/>
    </row>
    <row r="52" spans="1:14" s="93" customFormat="1" x14ac:dyDescent="0.3">
      <c r="A52" s="93" t="s">
        <v>168</v>
      </c>
      <c r="B52" s="89">
        <v>15</v>
      </c>
      <c r="C52" s="246"/>
      <c r="D52" s="247">
        <f t="shared" si="0"/>
        <v>0</v>
      </c>
      <c r="F52" s="248">
        <v>0</v>
      </c>
      <c r="G52" s="239">
        <f t="shared" si="2"/>
        <v>0</v>
      </c>
      <c r="H52" s="239">
        <f t="shared" si="1"/>
        <v>0</v>
      </c>
      <c r="I52" s="249">
        <v>0.01</v>
      </c>
      <c r="J52" s="249"/>
      <c r="K52" s="250"/>
      <c r="L52" s="115"/>
      <c r="M52" s="115"/>
      <c r="N52" s="115"/>
    </row>
    <row r="53" spans="1:14" s="93" customFormat="1" x14ac:dyDescent="0.3">
      <c r="A53" s="251" t="s">
        <v>175</v>
      </c>
      <c r="B53" s="89">
        <v>10</v>
      </c>
      <c r="C53" s="258"/>
      <c r="D53" s="247">
        <f t="shared" si="0"/>
        <v>0</v>
      </c>
      <c r="E53" s="252"/>
      <c r="F53" s="253">
        <v>0</v>
      </c>
      <c r="G53" s="239">
        <f t="shared" si="2"/>
        <v>0</v>
      </c>
      <c r="H53" s="239">
        <f t="shared" si="1"/>
        <v>0</v>
      </c>
      <c r="I53" s="249">
        <v>0.01</v>
      </c>
      <c r="J53" s="249"/>
      <c r="K53" s="250"/>
      <c r="L53" s="115"/>
      <c r="M53" s="115"/>
      <c r="N53" s="115"/>
    </row>
    <row r="54" spans="1:14" s="93" customFormat="1" ht="15.6" x14ac:dyDescent="0.3">
      <c r="A54" s="259" t="s">
        <v>579</v>
      </c>
      <c r="B54" s="260"/>
      <c r="C54" s="260"/>
      <c r="D54" s="261">
        <f>SUM(D12:D53)</f>
        <v>826000</v>
      </c>
      <c r="E54" s="262"/>
      <c r="F54" s="263"/>
      <c r="G54" s="264">
        <f>SUM(G12:G53)</f>
        <v>79393.995552803724</v>
      </c>
      <c r="H54" s="264">
        <f>SUM(H12:H53)</f>
        <v>16323.23765704962</v>
      </c>
      <c r="I54" s="265"/>
      <c r="J54" s="265"/>
      <c r="K54" s="266"/>
    </row>
    <row r="55" spans="1:14" s="83" customFormat="1" x14ac:dyDescent="0.3">
      <c r="D55" s="241"/>
      <c r="F55" s="240"/>
      <c r="G55" s="239"/>
      <c r="H55" s="239"/>
      <c r="I55" s="239"/>
      <c r="J55" s="239"/>
      <c r="K55" s="240"/>
    </row>
    <row r="56" spans="1:14" s="83" customFormat="1" x14ac:dyDescent="0.3">
      <c r="D56" s="241"/>
      <c r="F56" s="240"/>
      <c r="G56" s="239"/>
      <c r="H56" s="239"/>
      <c r="I56" s="239"/>
      <c r="J56" s="239"/>
      <c r="K56" s="240"/>
    </row>
    <row r="57" spans="1:14" s="83" customFormat="1" x14ac:dyDescent="0.3">
      <c r="D57" s="241"/>
      <c r="F57" s="240"/>
      <c r="G57" s="239"/>
      <c r="H57" s="239"/>
      <c r="I57" s="239"/>
      <c r="J57" s="239"/>
      <c r="K57" s="240"/>
    </row>
    <row r="58" spans="1:14" s="83" customFormat="1" x14ac:dyDescent="0.3">
      <c r="D58" s="241"/>
      <c r="F58" s="240"/>
      <c r="G58" s="239"/>
      <c r="H58" s="239"/>
      <c r="I58" s="239"/>
      <c r="J58" s="239"/>
      <c r="K58" s="240"/>
    </row>
    <row r="59" spans="1:14" s="83" customFormat="1" x14ac:dyDescent="0.3">
      <c r="D59" s="241"/>
      <c r="F59" s="240"/>
      <c r="G59" s="239"/>
      <c r="H59" s="239"/>
      <c r="I59" s="239"/>
      <c r="J59" s="239"/>
      <c r="K59" s="240"/>
    </row>
    <row r="60" spans="1:14" s="83" customFormat="1" x14ac:dyDescent="0.3">
      <c r="D60" s="241"/>
      <c r="F60" s="240"/>
      <c r="G60" s="239"/>
      <c r="H60" s="239"/>
      <c r="I60" s="239"/>
      <c r="J60" s="239"/>
      <c r="K60" s="240"/>
    </row>
    <row r="61" spans="1:14" s="83" customFormat="1" x14ac:dyDescent="0.3">
      <c r="D61" s="241"/>
      <c r="F61" s="240"/>
      <c r="G61" s="239"/>
      <c r="H61" s="239"/>
      <c r="I61" s="239"/>
      <c r="J61" s="239"/>
      <c r="K61" s="240"/>
    </row>
    <row r="62" spans="1:14" s="83" customFormat="1" x14ac:dyDescent="0.3">
      <c r="D62" s="241"/>
      <c r="F62" s="240"/>
      <c r="G62" s="239"/>
      <c r="H62" s="239"/>
      <c r="I62" s="239"/>
      <c r="J62" s="239"/>
      <c r="K62" s="240"/>
    </row>
    <row r="63" spans="1:14" s="83" customFormat="1" x14ac:dyDescent="0.3">
      <c r="D63" s="241"/>
      <c r="F63" s="240"/>
      <c r="G63" s="239"/>
      <c r="H63" s="239"/>
      <c r="I63" s="239"/>
      <c r="J63" s="239"/>
      <c r="K63" s="240"/>
    </row>
    <row r="64" spans="1:14" s="83" customFormat="1" x14ac:dyDescent="0.3">
      <c r="D64" s="241"/>
      <c r="F64" s="240"/>
      <c r="G64" s="239"/>
      <c r="H64" s="239"/>
      <c r="I64" s="239"/>
      <c r="J64" s="239"/>
      <c r="K64" s="240"/>
    </row>
    <row r="65" spans="4:11" s="83" customFormat="1" x14ac:dyDescent="0.3">
      <c r="D65" s="241"/>
      <c r="F65" s="240"/>
      <c r="G65" s="239"/>
      <c r="H65" s="239"/>
      <c r="I65" s="239"/>
      <c r="J65" s="239"/>
      <c r="K65" s="240"/>
    </row>
    <row r="66" spans="4:11" s="83" customFormat="1" x14ac:dyDescent="0.3">
      <c r="D66" s="241"/>
      <c r="F66" s="240"/>
      <c r="G66" s="239"/>
      <c r="H66" s="239"/>
      <c r="I66" s="239"/>
      <c r="J66" s="239"/>
      <c r="K66" s="240"/>
    </row>
    <row r="67" spans="4:11" s="83" customFormat="1" x14ac:dyDescent="0.3">
      <c r="D67" s="241"/>
      <c r="F67" s="240"/>
      <c r="G67" s="239"/>
      <c r="H67" s="239"/>
      <c r="I67" s="239"/>
      <c r="J67" s="239"/>
      <c r="K67" s="240"/>
    </row>
    <row r="68" spans="4:11" s="83" customFormat="1" x14ac:dyDescent="0.3">
      <c r="D68" s="241"/>
      <c r="F68" s="240"/>
      <c r="G68" s="239"/>
      <c r="H68" s="239"/>
      <c r="I68" s="239"/>
      <c r="J68" s="239"/>
      <c r="K68" s="240"/>
    </row>
    <row r="69" spans="4:11" s="83" customFormat="1" x14ac:dyDescent="0.3">
      <c r="D69" s="241"/>
      <c r="F69" s="240"/>
      <c r="G69" s="239"/>
      <c r="H69" s="239"/>
      <c r="I69" s="239"/>
      <c r="J69" s="239"/>
      <c r="K69" s="240"/>
    </row>
    <row r="70" spans="4:11" s="83" customFormat="1" x14ac:dyDescent="0.3">
      <c r="D70" s="241"/>
      <c r="F70" s="240"/>
      <c r="G70" s="239"/>
      <c r="H70" s="239"/>
      <c r="I70" s="239"/>
      <c r="J70" s="239"/>
      <c r="K70" s="240"/>
    </row>
    <row r="71" spans="4:11" s="83" customFormat="1" x14ac:dyDescent="0.3">
      <c r="D71" s="241"/>
      <c r="F71" s="240"/>
      <c r="G71" s="239"/>
      <c r="H71" s="239"/>
      <c r="I71" s="239"/>
      <c r="J71" s="239"/>
      <c r="K71" s="240"/>
    </row>
    <row r="72" spans="4:11" s="83" customFormat="1" x14ac:dyDescent="0.3">
      <c r="D72" s="241"/>
      <c r="F72" s="240"/>
      <c r="G72" s="239"/>
      <c r="H72" s="239"/>
      <c r="I72" s="239"/>
      <c r="J72" s="239"/>
      <c r="K72" s="240"/>
    </row>
  </sheetData>
  <sheetProtection algorithmName="SHA-512" hashValue="W4LolGLv37IZlsntz55M0zbtDDqEYq7ERD2KtarYd4i8dEx4XPVzwQjFnfXPkYPKh+RAYCvBalT4tT0kErZHhg==" saltValue="o8qRkHoKAONfIvH2n14kyQ==" spinCount="100000" sheet="1" objects="1" scenarios="1"/>
  <protectedRanges>
    <protectedRange sqref="D12:D53" name="Alue2"/>
    <protectedRange sqref="B12:B53" name="Alue1"/>
  </protectedRanges>
  <phoneticPr fontId="4" type="noConversion"/>
  <pageMargins left="0.7" right="0.7" top="0.75" bottom="0.75" header="0.3" footer="0.3"/>
  <ignoredErrors>
    <ignoredError sqref="H36" formula="1"/>
  </ignoredErrors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9EA38-5DC6-4780-9C2C-DCAA09B2264C}">
  <sheetPr codeName="Taul1"/>
  <dimension ref="A1:T84"/>
  <sheetViews>
    <sheetView workbookViewId="0">
      <selection activeCell="E7" sqref="E7"/>
    </sheetView>
  </sheetViews>
  <sheetFormatPr defaultRowHeight="14.4" x14ac:dyDescent="0.3"/>
  <cols>
    <col min="1" max="1" width="11.6640625" style="194" customWidth="1"/>
    <col min="2" max="2" width="61.44140625" style="194" customWidth="1"/>
    <col min="3" max="3" width="8.88671875" style="194" customWidth="1"/>
    <col min="4" max="4" width="10.109375" style="194" customWidth="1"/>
    <col min="5" max="6" width="8.88671875" style="194"/>
    <col min="7" max="7" width="9.88671875" style="194" customWidth="1"/>
    <col min="8" max="8" width="8.88671875" style="194"/>
    <col min="9" max="9" width="83.77734375" style="194" customWidth="1"/>
    <col min="10" max="20" width="8.88671875" style="59"/>
    <col min="21" max="16384" width="8.88671875" style="194"/>
  </cols>
  <sheetData>
    <row r="1" spans="1:20" s="270" customFormat="1" ht="24" thickBot="1" x14ac:dyDescent="0.5">
      <c r="A1" s="13" t="s">
        <v>325</v>
      </c>
      <c r="B1" s="269"/>
    </row>
    <row r="2" spans="1:20" s="59" customFormat="1" ht="15" thickTop="1" x14ac:dyDescent="0.3"/>
    <row r="3" spans="1:20" s="59" customFormat="1" ht="21" x14ac:dyDescent="0.3">
      <c r="A3" s="271" t="s">
        <v>270</v>
      </c>
    </row>
    <row r="4" spans="1:20" s="59" customFormat="1" x14ac:dyDescent="0.3"/>
    <row r="5" spans="1:20" s="273" customFormat="1" ht="13.8" customHeight="1" x14ac:dyDescent="0.3">
      <c r="A5" s="134" t="s">
        <v>326</v>
      </c>
      <c r="B5" s="134" t="s">
        <v>327</v>
      </c>
      <c r="C5" s="352" t="s">
        <v>328</v>
      </c>
      <c r="D5" s="352"/>
      <c r="E5" s="352" t="s">
        <v>329</v>
      </c>
      <c r="F5" s="352"/>
      <c r="G5" s="352" t="s">
        <v>330</v>
      </c>
      <c r="H5" s="352"/>
      <c r="I5" s="134" t="s">
        <v>331</v>
      </c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</row>
    <row r="6" spans="1:20" s="275" customFormat="1" ht="13.8" x14ac:dyDescent="0.3">
      <c r="A6" s="274" t="s">
        <v>99</v>
      </c>
      <c r="G6" s="276"/>
      <c r="I6" s="277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</row>
    <row r="7" spans="1:20" s="163" customFormat="1" ht="13.8" x14ac:dyDescent="0.3">
      <c r="B7" s="278" t="s">
        <v>555</v>
      </c>
      <c r="C7" s="279">
        <f>IF('4. Energia'!$H$35&lt;0,0,'4. Energia'!$H$35)</f>
        <v>734.95963954609533</v>
      </c>
      <c r="D7" s="163" t="s">
        <v>440</v>
      </c>
      <c r="E7" s="280">
        <v>70</v>
      </c>
      <c r="F7" s="163" t="s">
        <v>445</v>
      </c>
      <c r="G7" s="281">
        <f>C7*E7</f>
        <v>51447.174768226672</v>
      </c>
      <c r="H7" s="163" t="s">
        <v>244</v>
      </c>
      <c r="I7" s="282" t="s">
        <v>550</v>
      </c>
    </row>
    <row r="8" spans="1:20" s="163" customFormat="1" ht="13.8" x14ac:dyDescent="0.3">
      <c r="B8" s="278" t="s">
        <v>554</v>
      </c>
      <c r="C8" s="279">
        <f>IF('4. Energia'!$H$36&lt;0,0,'4. Energia'!$H$36)</f>
        <v>292.72662563354027</v>
      </c>
      <c r="D8" s="163" t="s">
        <v>440</v>
      </c>
      <c r="E8" s="280">
        <v>120</v>
      </c>
      <c r="F8" s="163" t="s">
        <v>445</v>
      </c>
      <c r="G8" s="281">
        <f>C8*E8</f>
        <v>35127.195076024829</v>
      </c>
      <c r="H8" s="163" t="s">
        <v>244</v>
      </c>
      <c r="I8" s="282"/>
    </row>
    <row r="9" spans="1:20" s="163" customFormat="1" ht="13.8" x14ac:dyDescent="0.3">
      <c r="B9" s="163" t="s">
        <v>577</v>
      </c>
      <c r="C9" s="279">
        <f>'4. Energia'!H37</f>
        <v>0</v>
      </c>
      <c r="D9" s="163" t="s">
        <v>440</v>
      </c>
      <c r="E9" s="280">
        <v>100</v>
      </c>
      <c r="F9" s="163" t="s">
        <v>445</v>
      </c>
      <c r="G9" s="281">
        <f t="shared" ref="G9:G19" si="0">C9*E9</f>
        <v>0</v>
      </c>
      <c r="H9" s="163" t="s">
        <v>244</v>
      </c>
      <c r="I9" s="282" t="s">
        <v>553</v>
      </c>
    </row>
    <row r="10" spans="1:20" s="163" customFormat="1" ht="13.8" x14ac:dyDescent="0.3">
      <c r="B10" s="163" t="s">
        <v>576</v>
      </c>
      <c r="C10" s="279">
        <f>'4. Energia'!H38</f>
        <v>0</v>
      </c>
      <c r="D10" s="163" t="s">
        <v>440</v>
      </c>
      <c r="E10" s="280">
        <v>120</v>
      </c>
      <c r="F10" s="163" t="s">
        <v>445</v>
      </c>
      <c r="G10" s="281">
        <f t="shared" si="0"/>
        <v>0</v>
      </c>
      <c r="H10" s="163" t="s">
        <v>244</v>
      </c>
      <c r="I10" s="282" t="s">
        <v>551</v>
      </c>
    </row>
    <row r="11" spans="1:20" s="163" customFormat="1" ht="13.8" x14ac:dyDescent="0.3">
      <c r="B11" s="163" t="s">
        <v>333</v>
      </c>
      <c r="C11" s="283">
        <f>'4. Energia'!N35</f>
        <v>0</v>
      </c>
      <c r="D11" s="163" t="s">
        <v>440</v>
      </c>
      <c r="E11" s="280">
        <v>40</v>
      </c>
      <c r="F11" s="163" t="s">
        <v>445</v>
      </c>
      <c r="G11" s="281">
        <f>C11*E11</f>
        <v>0</v>
      </c>
      <c r="H11" s="163" t="s">
        <v>244</v>
      </c>
      <c r="I11" s="282"/>
    </row>
    <row r="12" spans="1:20" s="163" customFormat="1" ht="13.8" x14ac:dyDescent="0.3">
      <c r="B12" s="163" t="s">
        <v>332</v>
      </c>
      <c r="C12" s="283">
        <f>'4. Energia'!N36</f>
        <v>0</v>
      </c>
      <c r="D12" s="163" t="s">
        <v>440</v>
      </c>
      <c r="E12" s="280">
        <v>50</v>
      </c>
      <c r="F12" s="163" t="s">
        <v>445</v>
      </c>
      <c r="G12" s="281">
        <f t="shared" si="0"/>
        <v>0</v>
      </c>
      <c r="H12" s="163" t="s">
        <v>244</v>
      </c>
      <c r="I12" s="282"/>
    </row>
    <row r="13" spans="1:20" s="163" customFormat="1" ht="13.8" x14ac:dyDescent="0.3">
      <c r="B13" s="278" t="s">
        <v>609</v>
      </c>
      <c r="C13" s="283">
        <f>'4. Energia'!N37</f>
        <v>0</v>
      </c>
      <c r="D13" s="163" t="s">
        <v>440</v>
      </c>
      <c r="E13" s="280">
        <v>80</v>
      </c>
      <c r="F13" s="163" t="s">
        <v>445</v>
      </c>
      <c r="G13" s="281">
        <f t="shared" ref="G13" si="1">C13*E13</f>
        <v>0</v>
      </c>
      <c r="H13" s="163" t="s">
        <v>244</v>
      </c>
      <c r="I13" s="282"/>
    </row>
    <row r="14" spans="1:20" s="163" customFormat="1" ht="13.8" x14ac:dyDescent="0.3">
      <c r="B14" s="278" t="s">
        <v>610</v>
      </c>
      <c r="C14" s="283">
        <f>'4. Energia'!N38</f>
        <v>0</v>
      </c>
      <c r="D14" s="163" t="s">
        <v>440</v>
      </c>
      <c r="E14" s="280">
        <v>120</v>
      </c>
      <c r="F14" s="163" t="s">
        <v>445</v>
      </c>
      <c r="G14" s="281">
        <f>C14*E14</f>
        <v>0</v>
      </c>
      <c r="H14" s="163" t="s">
        <v>244</v>
      </c>
      <c r="I14" s="282" t="s">
        <v>599</v>
      </c>
    </row>
    <row r="15" spans="1:20" s="163" customFormat="1" ht="13.8" x14ac:dyDescent="0.3">
      <c r="B15" s="163" t="s">
        <v>334</v>
      </c>
      <c r="C15" s="283">
        <f>'4. Energia'!N39</f>
        <v>0</v>
      </c>
      <c r="D15" s="163" t="s">
        <v>440</v>
      </c>
      <c r="E15" s="280">
        <v>60</v>
      </c>
      <c r="F15" s="163" t="s">
        <v>445</v>
      </c>
      <c r="G15" s="281">
        <f>C15*E15</f>
        <v>0</v>
      </c>
      <c r="H15" s="163" t="s">
        <v>244</v>
      </c>
      <c r="I15" s="282"/>
    </row>
    <row r="16" spans="1:20" s="275" customFormat="1" ht="13.8" x14ac:dyDescent="0.3">
      <c r="A16" s="274" t="s">
        <v>305</v>
      </c>
      <c r="G16" s="276"/>
      <c r="I16" s="277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</row>
    <row r="17" spans="1:20" s="163" customFormat="1" ht="13.8" x14ac:dyDescent="0.3">
      <c r="B17" s="163" t="s">
        <v>418</v>
      </c>
      <c r="C17" s="284"/>
      <c r="D17" s="163" t="s">
        <v>42</v>
      </c>
      <c r="E17" s="284">
        <v>40</v>
      </c>
      <c r="F17" s="163" t="s">
        <v>336</v>
      </c>
      <c r="G17" s="281">
        <f t="shared" si="0"/>
        <v>0</v>
      </c>
      <c r="H17" s="163" t="s">
        <v>244</v>
      </c>
      <c r="I17" s="282" t="s">
        <v>552</v>
      </c>
    </row>
    <row r="18" spans="1:20" s="275" customFormat="1" ht="13.8" x14ac:dyDescent="0.3">
      <c r="A18" s="274" t="s">
        <v>335</v>
      </c>
      <c r="G18" s="276"/>
      <c r="I18" s="277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</row>
    <row r="19" spans="1:20" s="163" customFormat="1" ht="13.8" x14ac:dyDescent="0.3">
      <c r="B19" s="163" t="s">
        <v>304</v>
      </c>
      <c r="C19" s="281">
        <f>'5. Ravinteet'!G18</f>
        <v>5015.6359790693759</v>
      </c>
      <c r="D19" s="163" t="s">
        <v>245</v>
      </c>
      <c r="E19" s="285">
        <v>1.3</v>
      </c>
      <c r="F19" s="163" t="s">
        <v>243</v>
      </c>
      <c r="G19" s="281">
        <f t="shared" si="0"/>
        <v>6520.3267727901894</v>
      </c>
      <c r="H19" s="163" t="s">
        <v>244</v>
      </c>
      <c r="I19" s="282"/>
    </row>
    <row r="20" spans="1:20" s="275" customFormat="1" ht="13.8" x14ac:dyDescent="0.3">
      <c r="A20" s="274" t="s">
        <v>337</v>
      </c>
      <c r="G20" s="276"/>
      <c r="I20" s="277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</row>
    <row r="21" spans="1:20" s="163" customFormat="1" thickBot="1" x14ac:dyDescent="0.35">
      <c r="A21" s="286"/>
      <c r="B21" s="286" t="s">
        <v>337</v>
      </c>
      <c r="C21" s="286"/>
      <c r="D21" s="286"/>
      <c r="E21" s="286"/>
      <c r="F21" s="286"/>
      <c r="G21" s="287"/>
      <c r="H21" s="286" t="s">
        <v>244</v>
      </c>
      <c r="I21" s="288"/>
    </row>
    <row r="22" spans="1:20" s="163" customFormat="1" ht="18" x14ac:dyDescent="0.35">
      <c r="A22" s="157" t="s">
        <v>309</v>
      </c>
      <c r="B22" s="157"/>
      <c r="C22" s="157"/>
      <c r="D22" s="157"/>
      <c r="E22" s="157"/>
      <c r="F22" s="157"/>
      <c r="G22" s="289">
        <f>SUM(G7:G21)</f>
        <v>93094.696617041685</v>
      </c>
      <c r="H22" s="157" t="s">
        <v>244</v>
      </c>
    </row>
    <row r="23" spans="1:20" s="163" customFormat="1" ht="13.8" x14ac:dyDescent="0.3"/>
    <row r="24" spans="1:20" s="59" customFormat="1" ht="18" x14ac:dyDescent="0.3">
      <c r="A24" s="290" t="s">
        <v>338</v>
      </c>
    </row>
    <row r="25" spans="1:20" s="293" customFormat="1" ht="27.6" x14ac:dyDescent="0.3">
      <c r="A25" s="291" t="s">
        <v>326</v>
      </c>
      <c r="B25" s="292" t="s">
        <v>339</v>
      </c>
      <c r="C25" s="351" t="s">
        <v>328</v>
      </c>
      <c r="D25" s="351"/>
      <c r="E25" s="351" t="s">
        <v>329</v>
      </c>
      <c r="F25" s="351"/>
      <c r="G25" s="351" t="s">
        <v>340</v>
      </c>
      <c r="H25" s="351"/>
      <c r="I25" s="291" t="s">
        <v>331</v>
      </c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</row>
    <row r="26" spans="1:20" s="296" customFormat="1" ht="13.8" x14ac:dyDescent="0.3">
      <c r="A26" s="294" t="s">
        <v>310</v>
      </c>
      <c r="B26" s="294"/>
      <c r="C26" s="294"/>
      <c r="D26" s="294"/>
      <c r="E26" s="294"/>
      <c r="F26" s="294"/>
      <c r="G26" s="294"/>
      <c r="H26" s="294"/>
      <c r="I26" s="295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</row>
    <row r="27" spans="1:20" s="163" customFormat="1" ht="13.8" x14ac:dyDescent="0.3">
      <c r="B27" s="278" t="s">
        <v>608</v>
      </c>
      <c r="C27" s="280">
        <f>'3. Tekniikka'!B13</f>
        <v>1000</v>
      </c>
      <c r="D27" s="163" t="s">
        <v>42</v>
      </c>
      <c r="E27" s="280">
        <v>20</v>
      </c>
      <c r="F27" s="163" t="s">
        <v>336</v>
      </c>
      <c r="G27" s="281">
        <f>C27*E27</f>
        <v>20000</v>
      </c>
      <c r="H27" s="163" t="s">
        <v>244</v>
      </c>
      <c r="I27" s="282" t="s">
        <v>487</v>
      </c>
    </row>
    <row r="28" spans="1:20" s="163" customFormat="1" ht="13.8" x14ac:dyDescent="0.3">
      <c r="B28" s="278" t="s">
        <v>604</v>
      </c>
      <c r="C28" s="280"/>
      <c r="D28" s="163" t="s">
        <v>42</v>
      </c>
      <c r="E28" s="280"/>
      <c r="F28" s="163" t="s">
        <v>336</v>
      </c>
      <c r="G28" s="281">
        <f>C28*E28</f>
        <v>0</v>
      </c>
      <c r="H28" s="163" t="s">
        <v>244</v>
      </c>
      <c r="I28" s="282" t="s">
        <v>606</v>
      </c>
    </row>
    <row r="29" spans="1:20" s="163" customFormat="1" ht="13.8" x14ac:dyDescent="0.3">
      <c r="B29" s="163" t="s">
        <v>341</v>
      </c>
      <c r="C29" s="280"/>
      <c r="D29" s="163" t="s">
        <v>42</v>
      </c>
      <c r="E29" s="280"/>
      <c r="F29" s="163" t="s">
        <v>336</v>
      </c>
      <c r="G29" s="281">
        <f t="shared" ref="G29:G31" si="2">C29*E29</f>
        <v>0</v>
      </c>
      <c r="H29" s="163" t="s">
        <v>244</v>
      </c>
    </row>
    <row r="30" spans="1:20" s="163" customFormat="1" ht="13.8" x14ac:dyDescent="0.3">
      <c r="B30" s="163" t="s">
        <v>342</v>
      </c>
      <c r="C30" s="280"/>
      <c r="D30" s="163" t="s">
        <v>42</v>
      </c>
      <c r="E30" s="280"/>
      <c r="F30" s="163" t="s">
        <v>336</v>
      </c>
      <c r="G30" s="281">
        <f t="shared" si="2"/>
        <v>0</v>
      </c>
      <c r="H30" s="163" t="s">
        <v>244</v>
      </c>
    </row>
    <row r="31" spans="1:20" s="163" customFormat="1" ht="13.8" x14ac:dyDescent="0.3">
      <c r="B31" s="278" t="s">
        <v>603</v>
      </c>
      <c r="C31" s="280"/>
      <c r="D31" s="163" t="s">
        <v>42</v>
      </c>
      <c r="E31" s="280"/>
      <c r="F31" s="163" t="s">
        <v>336</v>
      </c>
      <c r="G31" s="281">
        <f t="shared" si="2"/>
        <v>0</v>
      </c>
      <c r="H31" s="163" t="s">
        <v>244</v>
      </c>
    </row>
    <row r="32" spans="1:20" s="296" customFormat="1" ht="13.8" x14ac:dyDescent="0.3">
      <c r="A32" s="294" t="s">
        <v>312</v>
      </c>
      <c r="B32" s="294"/>
      <c r="C32" s="294"/>
      <c r="D32" s="294"/>
      <c r="E32" s="294"/>
      <c r="F32" s="294"/>
      <c r="G32" s="294"/>
      <c r="H32" s="294"/>
      <c r="I32" s="295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</row>
    <row r="33" spans="1:20" s="163" customFormat="1" ht="13.8" x14ac:dyDescent="0.3">
      <c r="B33" s="163" t="s">
        <v>343</v>
      </c>
      <c r="C33" s="297">
        <f>IF('4. Energia'!F36&lt;0,-'4. Energia'!F36,0)</f>
        <v>0</v>
      </c>
      <c r="D33" s="163" t="s">
        <v>127</v>
      </c>
      <c r="E33" s="284"/>
      <c r="F33" s="163" t="s">
        <v>444</v>
      </c>
      <c r="G33" s="281">
        <f>C33*E33</f>
        <v>0</v>
      </c>
      <c r="H33" s="163" t="s">
        <v>244</v>
      </c>
    </row>
    <row r="34" spans="1:20" s="163" customFormat="1" ht="13.8" x14ac:dyDescent="0.3">
      <c r="B34" s="163" t="s">
        <v>344</v>
      </c>
      <c r="C34" s="297">
        <f>IF('4. Energia'!F35&lt;0,-'4. Energia'!F35,0)</f>
        <v>0</v>
      </c>
      <c r="D34" s="163" t="s">
        <v>127</v>
      </c>
      <c r="E34" s="284"/>
      <c r="F34" s="163" t="s">
        <v>444</v>
      </c>
      <c r="G34" s="281">
        <f t="shared" ref="G34:G36" si="3">C34*E34</f>
        <v>0</v>
      </c>
      <c r="H34" s="163" t="s">
        <v>244</v>
      </c>
    </row>
    <row r="35" spans="1:20" s="163" customFormat="1" ht="13.8" x14ac:dyDescent="0.3">
      <c r="B35" s="163" t="s">
        <v>607</v>
      </c>
      <c r="C35" s="298">
        <f>'1. Syötteet'!C46</f>
        <v>0</v>
      </c>
      <c r="D35" s="163" t="s">
        <v>42</v>
      </c>
      <c r="E35" s="284"/>
      <c r="F35" s="163" t="s">
        <v>336</v>
      </c>
      <c r="G35" s="281">
        <f t="shared" si="3"/>
        <v>0</v>
      </c>
      <c r="H35" s="163" t="s">
        <v>244</v>
      </c>
      <c r="I35" s="282"/>
    </row>
    <row r="36" spans="1:20" s="163" customFormat="1" ht="13.8" x14ac:dyDescent="0.3">
      <c r="B36" s="163" t="s">
        <v>345</v>
      </c>
      <c r="G36" s="299">
        <f t="shared" si="3"/>
        <v>0</v>
      </c>
      <c r="H36" s="163" t="s">
        <v>244</v>
      </c>
    </row>
    <row r="37" spans="1:20" s="296" customFormat="1" ht="13.8" x14ac:dyDescent="0.3">
      <c r="A37" s="294" t="s">
        <v>313</v>
      </c>
      <c r="B37" s="294"/>
      <c r="C37" s="294"/>
      <c r="D37" s="294"/>
      <c r="E37" s="294"/>
      <c r="F37" s="294"/>
      <c r="G37" s="294"/>
      <c r="H37" s="294"/>
      <c r="I37" s="295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</row>
    <row r="38" spans="1:20" s="163" customFormat="1" ht="15" x14ac:dyDescent="0.35">
      <c r="B38" s="163" t="s">
        <v>573</v>
      </c>
      <c r="C38" s="283">
        <f>'4. Energia'!D15</f>
        <v>367.47981977304761</v>
      </c>
      <c r="D38" s="163" t="s">
        <v>429</v>
      </c>
      <c r="E38" s="300">
        <v>13</v>
      </c>
      <c r="F38" s="163" t="s">
        <v>428</v>
      </c>
      <c r="G38" s="281">
        <f t="shared" ref="G38:G45" si="4">C38*E38</f>
        <v>4777.237657049619</v>
      </c>
      <c r="H38" s="163" t="s">
        <v>244</v>
      </c>
      <c r="I38" s="301"/>
    </row>
    <row r="39" spans="1:20" s="163" customFormat="1" ht="13.8" x14ac:dyDescent="0.3">
      <c r="B39" s="163" t="s">
        <v>346</v>
      </c>
      <c r="E39" s="302"/>
      <c r="G39" s="281">
        <f>'6. Investoinnit'!H43</f>
        <v>0</v>
      </c>
      <c r="H39" s="163" t="s">
        <v>244</v>
      </c>
    </row>
    <row r="40" spans="1:20" s="163" customFormat="1" ht="13.8" x14ac:dyDescent="0.3">
      <c r="B40" s="163" t="s">
        <v>605</v>
      </c>
      <c r="C40" s="303"/>
      <c r="D40" s="303"/>
      <c r="E40" s="304"/>
      <c r="F40" s="303"/>
      <c r="G40" s="281">
        <f>'6. Investoinnit'!H44</f>
        <v>0</v>
      </c>
      <c r="H40" s="163" t="s">
        <v>244</v>
      </c>
    </row>
    <row r="41" spans="1:20" s="163" customFormat="1" ht="13.8" x14ac:dyDescent="0.3">
      <c r="B41" s="163" t="s">
        <v>347</v>
      </c>
      <c r="E41" s="302"/>
      <c r="G41" s="281">
        <f>'6. Investoinnit'!H54-'7. Tuotot ja kulut'!G38-'7. Tuotot ja kulut'!G39-'7. Tuotot ja kulut'!G40-'7. Tuotot ja kulut'!G42</f>
        <v>11546</v>
      </c>
      <c r="H41" s="163" t="s">
        <v>244</v>
      </c>
    </row>
    <row r="42" spans="1:20" s="163" customFormat="1" ht="13.8" x14ac:dyDescent="0.3">
      <c r="B42" s="163" t="s">
        <v>459</v>
      </c>
      <c r="E42" s="302"/>
      <c r="G42" s="281">
        <f>SUM('6. Investoinnit'!H47:H49)</f>
        <v>0</v>
      </c>
      <c r="H42" s="163" t="s">
        <v>244</v>
      </c>
    </row>
    <row r="43" spans="1:20" s="163" customFormat="1" ht="13.8" x14ac:dyDescent="0.3">
      <c r="B43" s="163" t="s">
        <v>572</v>
      </c>
      <c r="C43" s="280"/>
      <c r="D43" s="163" t="s">
        <v>348</v>
      </c>
      <c r="E43" s="280"/>
      <c r="F43" s="163" t="s">
        <v>349</v>
      </c>
      <c r="G43" s="281">
        <f t="shared" si="4"/>
        <v>0</v>
      </c>
      <c r="H43" s="163" t="s">
        <v>244</v>
      </c>
    </row>
    <row r="44" spans="1:20" s="163" customFormat="1" ht="13.8" x14ac:dyDescent="0.3">
      <c r="B44" s="163" t="s">
        <v>350</v>
      </c>
      <c r="C44" s="300">
        <v>182.5</v>
      </c>
      <c r="D44" s="163" t="s">
        <v>348</v>
      </c>
      <c r="E44" s="285">
        <v>25.8</v>
      </c>
      <c r="F44" s="163" t="s">
        <v>349</v>
      </c>
      <c r="G44" s="281">
        <f t="shared" si="4"/>
        <v>4708.5</v>
      </c>
      <c r="H44" s="163" t="s">
        <v>244</v>
      </c>
    </row>
    <row r="45" spans="1:20" s="163" customFormat="1" ht="13.8" x14ac:dyDescent="0.3">
      <c r="B45" s="163" t="s">
        <v>351</v>
      </c>
      <c r="E45" s="302"/>
      <c r="G45" s="305">
        <f t="shared" si="4"/>
        <v>0</v>
      </c>
      <c r="H45" s="163" t="s">
        <v>244</v>
      </c>
    </row>
    <row r="46" spans="1:20" s="296" customFormat="1" ht="13.8" x14ac:dyDescent="0.3">
      <c r="A46" s="294" t="s">
        <v>272</v>
      </c>
      <c r="B46" s="294"/>
      <c r="C46" s="294"/>
      <c r="D46" s="294"/>
      <c r="E46" s="294"/>
      <c r="F46" s="294"/>
      <c r="G46" s="294"/>
      <c r="H46" s="294"/>
      <c r="I46" s="295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</row>
    <row r="47" spans="1:20" s="163" customFormat="1" ht="13.8" x14ac:dyDescent="0.3">
      <c r="B47" s="163" t="s">
        <v>575</v>
      </c>
      <c r="C47" s="284">
        <v>0.5</v>
      </c>
      <c r="D47" s="163" t="s">
        <v>574</v>
      </c>
      <c r="G47" s="306">
        <f>C47/100*'6. Investoinnit'!D54</f>
        <v>4130</v>
      </c>
      <c r="H47" s="163" t="s">
        <v>244</v>
      </c>
    </row>
    <row r="48" spans="1:20" s="163" customFormat="1" thickBot="1" x14ac:dyDescent="0.35">
      <c r="A48" s="286"/>
      <c r="B48" s="286" t="s">
        <v>352</v>
      </c>
      <c r="C48" s="286"/>
      <c r="D48" s="286"/>
      <c r="E48" s="286"/>
      <c r="F48" s="286"/>
      <c r="G48" s="307">
        <v>0</v>
      </c>
      <c r="H48" s="286" t="s">
        <v>244</v>
      </c>
    </row>
    <row r="49" spans="1:20" s="310" customFormat="1" ht="15.6" x14ac:dyDescent="0.3">
      <c r="A49" s="308" t="s">
        <v>353</v>
      </c>
      <c r="B49" s="308"/>
      <c r="C49" s="308"/>
      <c r="D49" s="308"/>
      <c r="E49" s="308"/>
      <c r="F49" s="308"/>
      <c r="G49" s="309">
        <f>SUM(G27:G48)</f>
        <v>45161.73765704962</v>
      </c>
      <c r="H49" s="308" t="s">
        <v>244</v>
      </c>
    </row>
    <row r="50" spans="1:20" s="293" customFormat="1" ht="13.8" x14ac:dyDescent="0.3">
      <c r="A50" s="311"/>
      <c r="B50" s="311"/>
      <c r="C50" s="311"/>
      <c r="D50" s="311"/>
      <c r="E50" s="311"/>
      <c r="F50" s="311"/>
      <c r="G50" s="312"/>
      <c r="H50" s="313"/>
      <c r="I50" s="314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</row>
    <row r="51" spans="1:20" s="293" customFormat="1" ht="18" x14ac:dyDescent="0.3">
      <c r="A51" s="315" t="s">
        <v>281</v>
      </c>
      <c r="B51" s="311"/>
      <c r="C51" s="311"/>
      <c r="D51" s="311"/>
      <c r="E51" s="311"/>
      <c r="F51" s="311"/>
      <c r="G51" s="312"/>
      <c r="H51" s="313"/>
      <c r="I51" s="314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3"/>
    </row>
    <row r="52" spans="1:20" s="293" customFormat="1" ht="13.8" x14ac:dyDescent="0.3">
      <c r="A52" s="316" t="s">
        <v>354</v>
      </c>
      <c r="B52" s="311"/>
      <c r="C52" s="311"/>
      <c r="D52" s="311"/>
      <c r="E52" s="311"/>
      <c r="F52" s="311"/>
      <c r="G52" s="317">
        <f>G22-G49</f>
        <v>47932.958959992066</v>
      </c>
      <c r="H52" s="318" t="s">
        <v>244</v>
      </c>
      <c r="I52" s="314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</row>
    <row r="53" spans="1:20" s="59" customFormat="1" x14ac:dyDescent="0.3"/>
    <row r="54" spans="1:20" s="59" customFormat="1" x14ac:dyDescent="0.3"/>
    <row r="55" spans="1:20" s="59" customFormat="1" x14ac:dyDescent="0.3"/>
    <row r="56" spans="1:20" s="59" customFormat="1" x14ac:dyDescent="0.3"/>
    <row r="57" spans="1:20" s="59" customFormat="1" x14ac:dyDescent="0.3"/>
    <row r="58" spans="1:20" s="59" customFormat="1" x14ac:dyDescent="0.3"/>
    <row r="59" spans="1:20" s="59" customFormat="1" x14ac:dyDescent="0.3"/>
    <row r="60" spans="1:20" s="59" customFormat="1" x14ac:dyDescent="0.3"/>
    <row r="61" spans="1:20" s="59" customFormat="1" x14ac:dyDescent="0.3"/>
    <row r="62" spans="1:20" s="59" customFormat="1" x14ac:dyDescent="0.3"/>
    <row r="63" spans="1:20" s="59" customFormat="1" x14ac:dyDescent="0.3"/>
    <row r="64" spans="1:20" s="59" customFormat="1" x14ac:dyDescent="0.3"/>
    <row r="65" s="59" customFormat="1" x14ac:dyDescent="0.3"/>
    <row r="66" s="59" customFormat="1" x14ac:dyDescent="0.3"/>
    <row r="67" s="59" customFormat="1" x14ac:dyDescent="0.3"/>
    <row r="68" s="59" customFormat="1" x14ac:dyDescent="0.3"/>
    <row r="69" s="59" customFormat="1" x14ac:dyDescent="0.3"/>
    <row r="70" s="59" customFormat="1" x14ac:dyDescent="0.3"/>
    <row r="71" s="59" customFormat="1" x14ac:dyDescent="0.3"/>
    <row r="72" s="59" customFormat="1" x14ac:dyDescent="0.3"/>
    <row r="73" s="59" customFormat="1" x14ac:dyDescent="0.3"/>
    <row r="74" s="59" customFormat="1" x14ac:dyDescent="0.3"/>
    <row r="75" s="59" customFormat="1" x14ac:dyDescent="0.3"/>
    <row r="76" s="59" customFormat="1" x14ac:dyDescent="0.3"/>
    <row r="77" s="59" customFormat="1" x14ac:dyDescent="0.3"/>
    <row r="78" s="59" customFormat="1" x14ac:dyDescent="0.3"/>
    <row r="79" s="59" customFormat="1" x14ac:dyDescent="0.3"/>
    <row r="80" s="59" customFormat="1" x14ac:dyDescent="0.3"/>
    <row r="81" s="59" customFormat="1" x14ac:dyDescent="0.3"/>
    <row r="82" s="59" customFormat="1" x14ac:dyDescent="0.3"/>
    <row r="83" s="59" customFormat="1" x14ac:dyDescent="0.3"/>
    <row r="84" s="59" customFormat="1" x14ac:dyDescent="0.3"/>
  </sheetData>
  <sheetProtection algorithmName="SHA-512" hashValue="2NrRYRLBdgdzMTBWGF1agvPzf2bdzSzE7zJxDFsgV1qa+vuxxlZLutsliJHa8w2H7n8WMyS2MUJWU7NCF6zjng==" saltValue="9q/1pT8uc9q8L8tuDmEGAQ==" spinCount="100000" sheet="1" objects="1" scenarios="1"/>
  <protectedRanges>
    <protectedRange sqref="G47:G48" name="Alue15"/>
    <protectedRange sqref="C47" name="Alue14"/>
    <protectedRange sqref="G45" name="Alue13"/>
    <protectedRange sqref="E43:E44" name="Alue12"/>
    <protectedRange sqref="C43:C44" name="Alue11"/>
    <protectedRange sqref="E38" name="Alue10"/>
    <protectedRange sqref="G36" name="Alue9"/>
    <protectedRange sqref="E33:E35" name="Alue8"/>
    <protectedRange sqref="E27:E31" name="Alue7"/>
    <protectedRange sqref="C27:C31" name="Alue6"/>
    <protectedRange sqref="G21" name="Alue5"/>
    <protectedRange sqref="E19" name="Alue4"/>
    <protectedRange sqref="E17" name="Alue3"/>
    <protectedRange sqref="C17" name="Alue2"/>
    <protectedRange sqref="E7:E15" name="Alue1"/>
  </protectedRanges>
  <mergeCells count="6">
    <mergeCell ref="C25:D25"/>
    <mergeCell ref="E25:F25"/>
    <mergeCell ref="G25:H25"/>
    <mergeCell ref="C5:D5"/>
    <mergeCell ref="E5:F5"/>
    <mergeCell ref="G5:H5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1289" r:id="rId3" name="Control 25">
          <controlPr defaultSize="0" r:id="rId4">
            <anchor moveWithCells="1">
              <from>
                <xdr:col>6</xdr:col>
                <xdr:colOff>0</xdr:colOff>
                <xdr:row>84</xdr:row>
                <xdr:rowOff>0</xdr:rowOff>
              </from>
              <to>
                <xdr:col>7</xdr:col>
                <xdr:colOff>236220</xdr:colOff>
                <xdr:row>85</xdr:row>
                <xdr:rowOff>45720</xdr:rowOff>
              </to>
            </anchor>
          </controlPr>
        </control>
      </mc:Choice>
      <mc:Fallback>
        <control shapeId="11289" r:id="rId3" name="Control 25"/>
      </mc:Fallback>
    </mc:AlternateContent>
    <mc:AlternateContent xmlns:mc="http://schemas.openxmlformats.org/markup-compatibility/2006">
      <mc:Choice Requires="x14">
        <control shapeId="11288" r:id="rId5" name="Control 24">
          <controlPr defaultSize="0" r:id="rId4">
            <anchor moveWithCells="1">
              <from>
                <xdr:col>6</xdr:col>
                <xdr:colOff>0</xdr:colOff>
                <xdr:row>84</xdr:row>
                <xdr:rowOff>0</xdr:rowOff>
              </from>
              <to>
                <xdr:col>7</xdr:col>
                <xdr:colOff>236220</xdr:colOff>
                <xdr:row>85</xdr:row>
                <xdr:rowOff>45720</xdr:rowOff>
              </to>
            </anchor>
          </controlPr>
        </control>
      </mc:Choice>
      <mc:Fallback>
        <control shapeId="11288" r:id="rId5" name="Control 24"/>
      </mc:Fallback>
    </mc:AlternateContent>
    <mc:AlternateContent xmlns:mc="http://schemas.openxmlformats.org/markup-compatibility/2006">
      <mc:Choice Requires="x14">
        <control shapeId="11287" r:id="rId6" name="Control 23">
          <controlPr defaultSize="0" r:id="rId4">
            <anchor moveWithCells="1">
              <from>
                <xdr:col>6</xdr:col>
                <xdr:colOff>0</xdr:colOff>
                <xdr:row>84</xdr:row>
                <xdr:rowOff>0</xdr:rowOff>
              </from>
              <to>
                <xdr:col>7</xdr:col>
                <xdr:colOff>236220</xdr:colOff>
                <xdr:row>85</xdr:row>
                <xdr:rowOff>45720</xdr:rowOff>
              </to>
            </anchor>
          </controlPr>
        </control>
      </mc:Choice>
      <mc:Fallback>
        <control shapeId="11287" r:id="rId6" name="Control 23"/>
      </mc:Fallback>
    </mc:AlternateContent>
    <mc:AlternateContent xmlns:mc="http://schemas.openxmlformats.org/markup-compatibility/2006">
      <mc:Choice Requires="x14">
        <control shapeId="11286" r:id="rId7" name="Control 22">
          <controlPr defaultSize="0" r:id="rId4">
            <anchor moveWithCells="1">
              <from>
                <xdr:col>4</xdr:col>
                <xdr:colOff>0</xdr:colOff>
                <xdr:row>84</xdr:row>
                <xdr:rowOff>0</xdr:rowOff>
              </from>
              <to>
                <xdr:col>5</xdr:col>
                <xdr:colOff>304800</xdr:colOff>
                <xdr:row>85</xdr:row>
                <xdr:rowOff>45720</xdr:rowOff>
              </to>
            </anchor>
          </controlPr>
        </control>
      </mc:Choice>
      <mc:Fallback>
        <control shapeId="11286" r:id="rId7" name="Control 22"/>
      </mc:Fallback>
    </mc:AlternateContent>
    <mc:AlternateContent xmlns:mc="http://schemas.openxmlformats.org/markup-compatibility/2006">
      <mc:Choice Requires="x14">
        <control shapeId="11285" r:id="rId8" name="Control 21">
          <controlPr defaultSize="0" r:id="rId4">
            <anchor moveWithCells="1">
              <from>
                <xdr:col>4</xdr:col>
                <xdr:colOff>0</xdr:colOff>
                <xdr:row>84</xdr:row>
                <xdr:rowOff>0</xdr:rowOff>
              </from>
              <to>
                <xdr:col>5</xdr:col>
                <xdr:colOff>304800</xdr:colOff>
                <xdr:row>85</xdr:row>
                <xdr:rowOff>45720</xdr:rowOff>
              </to>
            </anchor>
          </controlPr>
        </control>
      </mc:Choice>
      <mc:Fallback>
        <control shapeId="11285" r:id="rId8" name="Control 21"/>
      </mc:Fallback>
    </mc:AlternateContent>
    <mc:AlternateContent xmlns:mc="http://schemas.openxmlformats.org/markup-compatibility/2006">
      <mc:Choice Requires="x14">
        <control shapeId="11284" r:id="rId9" name="Control 20">
          <controlPr defaultSize="0" r:id="rId4">
            <anchor moveWithCells="1">
              <from>
                <xdr:col>2</xdr:col>
                <xdr:colOff>0</xdr:colOff>
                <xdr:row>84</xdr:row>
                <xdr:rowOff>0</xdr:rowOff>
              </from>
              <to>
                <xdr:col>3</xdr:col>
                <xdr:colOff>304800</xdr:colOff>
                <xdr:row>85</xdr:row>
                <xdr:rowOff>45720</xdr:rowOff>
              </to>
            </anchor>
          </controlPr>
        </control>
      </mc:Choice>
      <mc:Fallback>
        <control shapeId="11284" r:id="rId9" name="Control 20"/>
      </mc:Fallback>
    </mc:AlternateContent>
    <mc:AlternateContent xmlns:mc="http://schemas.openxmlformats.org/markup-compatibility/2006">
      <mc:Choice Requires="x14">
        <control shapeId="11283" r:id="rId10" name="Control 19">
          <controlPr defaultSize="0" r:id="rId4">
            <anchor moveWithCells="1">
              <from>
                <xdr:col>6</xdr:col>
                <xdr:colOff>0</xdr:colOff>
                <xdr:row>84</xdr:row>
                <xdr:rowOff>0</xdr:rowOff>
              </from>
              <to>
                <xdr:col>7</xdr:col>
                <xdr:colOff>236220</xdr:colOff>
                <xdr:row>85</xdr:row>
                <xdr:rowOff>45720</xdr:rowOff>
              </to>
            </anchor>
          </controlPr>
        </control>
      </mc:Choice>
      <mc:Fallback>
        <control shapeId="11283" r:id="rId10" name="Control 19"/>
      </mc:Fallback>
    </mc:AlternateContent>
    <mc:AlternateContent xmlns:mc="http://schemas.openxmlformats.org/markup-compatibility/2006">
      <mc:Choice Requires="x14">
        <control shapeId="11282" r:id="rId11" name="Control 18">
          <controlPr defaultSize="0" r:id="rId4">
            <anchor moveWithCells="1">
              <from>
                <xdr:col>6</xdr:col>
                <xdr:colOff>0</xdr:colOff>
                <xdr:row>84</xdr:row>
                <xdr:rowOff>0</xdr:rowOff>
              </from>
              <to>
                <xdr:col>7</xdr:col>
                <xdr:colOff>236220</xdr:colOff>
                <xdr:row>85</xdr:row>
                <xdr:rowOff>45720</xdr:rowOff>
              </to>
            </anchor>
          </controlPr>
        </control>
      </mc:Choice>
      <mc:Fallback>
        <control shapeId="11282" r:id="rId11" name="Control 18"/>
      </mc:Fallback>
    </mc:AlternateContent>
    <mc:AlternateContent xmlns:mc="http://schemas.openxmlformats.org/markup-compatibility/2006">
      <mc:Choice Requires="x14">
        <control shapeId="11281" r:id="rId12" name="Control 17">
          <controlPr defaultSize="0" r:id="rId4">
            <anchor moveWithCells="1">
              <from>
                <xdr:col>6</xdr:col>
                <xdr:colOff>0</xdr:colOff>
                <xdr:row>84</xdr:row>
                <xdr:rowOff>0</xdr:rowOff>
              </from>
              <to>
                <xdr:col>7</xdr:col>
                <xdr:colOff>236220</xdr:colOff>
                <xdr:row>85</xdr:row>
                <xdr:rowOff>45720</xdr:rowOff>
              </to>
            </anchor>
          </controlPr>
        </control>
      </mc:Choice>
      <mc:Fallback>
        <control shapeId="11281" r:id="rId12" name="Control 17"/>
      </mc:Fallback>
    </mc:AlternateContent>
    <mc:AlternateContent xmlns:mc="http://schemas.openxmlformats.org/markup-compatibility/2006">
      <mc:Choice Requires="x14">
        <control shapeId="11280" r:id="rId13" name="Control 16">
          <controlPr defaultSize="0" r:id="rId4">
            <anchor moveWithCells="1">
              <from>
                <xdr:col>6</xdr:col>
                <xdr:colOff>0</xdr:colOff>
                <xdr:row>84</xdr:row>
                <xdr:rowOff>0</xdr:rowOff>
              </from>
              <to>
                <xdr:col>7</xdr:col>
                <xdr:colOff>236220</xdr:colOff>
                <xdr:row>85</xdr:row>
                <xdr:rowOff>45720</xdr:rowOff>
              </to>
            </anchor>
          </controlPr>
        </control>
      </mc:Choice>
      <mc:Fallback>
        <control shapeId="11280" r:id="rId13" name="Control 16"/>
      </mc:Fallback>
    </mc:AlternateContent>
    <mc:AlternateContent xmlns:mc="http://schemas.openxmlformats.org/markup-compatibility/2006">
      <mc:Choice Requires="x14">
        <control shapeId="11279" r:id="rId14" name="Control 15">
          <controlPr defaultSize="0" r:id="rId4">
            <anchor moveWithCells="1">
              <from>
                <xdr:col>4</xdr:col>
                <xdr:colOff>0</xdr:colOff>
                <xdr:row>84</xdr:row>
                <xdr:rowOff>0</xdr:rowOff>
              </from>
              <to>
                <xdr:col>5</xdr:col>
                <xdr:colOff>304800</xdr:colOff>
                <xdr:row>85</xdr:row>
                <xdr:rowOff>45720</xdr:rowOff>
              </to>
            </anchor>
          </controlPr>
        </control>
      </mc:Choice>
      <mc:Fallback>
        <control shapeId="11279" r:id="rId14" name="Control 15"/>
      </mc:Fallback>
    </mc:AlternateContent>
    <mc:AlternateContent xmlns:mc="http://schemas.openxmlformats.org/markup-compatibility/2006">
      <mc:Choice Requires="x14">
        <control shapeId="11278" r:id="rId15" name="Control 14">
          <controlPr defaultSize="0" r:id="rId4">
            <anchor moveWithCells="1">
              <from>
                <xdr:col>6</xdr:col>
                <xdr:colOff>0</xdr:colOff>
                <xdr:row>84</xdr:row>
                <xdr:rowOff>0</xdr:rowOff>
              </from>
              <to>
                <xdr:col>7</xdr:col>
                <xdr:colOff>236220</xdr:colOff>
                <xdr:row>85</xdr:row>
                <xdr:rowOff>45720</xdr:rowOff>
              </to>
            </anchor>
          </controlPr>
        </control>
      </mc:Choice>
      <mc:Fallback>
        <control shapeId="11278" r:id="rId15" name="Control 14"/>
      </mc:Fallback>
    </mc:AlternateContent>
    <mc:AlternateContent xmlns:mc="http://schemas.openxmlformats.org/markup-compatibility/2006">
      <mc:Choice Requires="x14">
        <control shapeId="11277" r:id="rId16" name="Control 13">
          <controlPr defaultSize="0" r:id="rId4">
            <anchor moveWithCells="1">
              <from>
                <xdr:col>4</xdr:col>
                <xdr:colOff>0</xdr:colOff>
                <xdr:row>84</xdr:row>
                <xdr:rowOff>0</xdr:rowOff>
              </from>
              <to>
                <xdr:col>5</xdr:col>
                <xdr:colOff>304800</xdr:colOff>
                <xdr:row>85</xdr:row>
                <xdr:rowOff>45720</xdr:rowOff>
              </to>
            </anchor>
          </controlPr>
        </control>
      </mc:Choice>
      <mc:Fallback>
        <control shapeId="11277" r:id="rId16" name="Control 13"/>
      </mc:Fallback>
    </mc:AlternateContent>
    <mc:AlternateContent xmlns:mc="http://schemas.openxmlformats.org/markup-compatibility/2006">
      <mc:Choice Requires="x14">
        <control shapeId="11276" r:id="rId17" name="Control 12">
          <controlPr defaultSize="0" r:id="rId4">
            <anchor moveWithCells="1">
              <from>
                <xdr:col>4</xdr:col>
                <xdr:colOff>0</xdr:colOff>
                <xdr:row>84</xdr:row>
                <xdr:rowOff>0</xdr:rowOff>
              </from>
              <to>
                <xdr:col>5</xdr:col>
                <xdr:colOff>304800</xdr:colOff>
                <xdr:row>85</xdr:row>
                <xdr:rowOff>45720</xdr:rowOff>
              </to>
            </anchor>
          </controlPr>
        </control>
      </mc:Choice>
      <mc:Fallback>
        <control shapeId="11276" r:id="rId17" name="Control 12"/>
      </mc:Fallback>
    </mc:AlternateContent>
    <mc:AlternateContent xmlns:mc="http://schemas.openxmlformats.org/markup-compatibility/2006">
      <mc:Choice Requires="x14">
        <control shapeId="11275" r:id="rId18" name="Control 11">
          <controlPr defaultSize="0" r:id="rId4">
            <anchor moveWithCells="1">
              <from>
                <xdr:col>4</xdr:col>
                <xdr:colOff>0</xdr:colOff>
                <xdr:row>84</xdr:row>
                <xdr:rowOff>0</xdr:rowOff>
              </from>
              <to>
                <xdr:col>5</xdr:col>
                <xdr:colOff>304800</xdr:colOff>
                <xdr:row>85</xdr:row>
                <xdr:rowOff>45720</xdr:rowOff>
              </to>
            </anchor>
          </controlPr>
        </control>
      </mc:Choice>
      <mc:Fallback>
        <control shapeId="11275" r:id="rId18" name="Control 11"/>
      </mc:Fallback>
    </mc:AlternateContent>
    <mc:AlternateContent xmlns:mc="http://schemas.openxmlformats.org/markup-compatibility/2006">
      <mc:Choice Requires="x14">
        <control shapeId="11274" r:id="rId19" name="Control 10">
          <controlPr defaultSize="0" r:id="rId4">
            <anchor moveWithCells="1">
              <from>
                <xdr:col>4</xdr:col>
                <xdr:colOff>0</xdr:colOff>
                <xdr:row>84</xdr:row>
                <xdr:rowOff>0</xdr:rowOff>
              </from>
              <to>
                <xdr:col>5</xdr:col>
                <xdr:colOff>304800</xdr:colOff>
                <xdr:row>85</xdr:row>
                <xdr:rowOff>45720</xdr:rowOff>
              </to>
            </anchor>
          </controlPr>
        </control>
      </mc:Choice>
      <mc:Fallback>
        <control shapeId="11274" r:id="rId19" name="Control 10"/>
      </mc:Fallback>
    </mc:AlternateContent>
    <mc:AlternateContent xmlns:mc="http://schemas.openxmlformats.org/markup-compatibility/2006">
      <mc:Choice Requires="x14">
        <control shapeId="11273" r:id="rId20" name="Control 9">
          <controlPr defaultSize="0" r:id="rId4">
            <anchor moveWithCells="1">
              <from>
                <xdr:col>2</xdr:col>
                <xdr:colOff>0</xdr:colOff>
                <xdr:row>84</xdr:row>
                <xdr:rowOff>0</xdr:rowOff>
              </from>
              <to>
                <xdr:col>3</xdr:col>
                <xdr:colOff>304800</xdr:colOff>
                <xdr:row>85</xdr:row>
                <xdr:rowOff>45720</xdr:rowOff>
              </to>
            </anchor>
          </controlPr>
        </control>
      </mc:Choice>
      <mc:Fallback>
        <control shapeId="11273" r:id="rId20" name="Control 9"/>
      </mc:Fallback>
    </mc:AlternateContent>
    <mc:AlternateContent xmlns:mc="http://schemas.openxmlformats.org/markup-compatibility/2006">
      <mc:Choice Requires="x14">
        <control shapeId="11272" r:id="rId21" name="Control 8">
          <controlPr defaultSize="0" r:id="rId4">
            <anchor moveWithCells="1">
              <from>
                <xdr:col>4</xdr:col>
                <xdr:colOff>0</xdr:colOff>
                <xdr:row>84</xdr:row>
                <xdr:rowOff>0</xdr:rowOff>
              </from>
              <to>
                <xdr:col>5</xdr:col>
                <xdr:colOff>304800</xdr:colOff>
                <xdr:row>85</xdr:row>
                <xdr:rowOff>45720</xdr:rowOff>
              </to>
            </anchor>
          </controlPr>
        </control>
      </mc:Choice>
      <mc:Fallback>
        <control shapeId="11272" r:id="rId21" name="Control 8"/>
      </mc:Fallback>
    </mc:AlternateContent>
    <mc:AlternateContent xmlns:mc="http://schemas.openxmlformats.org/markup-compatibility/2006">
      <mc:Choice Requires="x14">
        <control shapeId="11271" r:id="rId22" name="Control 7">
          <controlPr defaultSize="0" r:id="rId4">
            <anchor moveWithCells="1">
              <from>
                <xdr:col>2</xdr:col>
                <xdr:colOff>0</xdr:colOff>
                <xdr:row>84</xdr:row>
                <xdr:rowOff>0</xdr:rowOff>
              </from>
              <to>
                <xdr:col>3</xdr:col>
                <xdr:colOff>304800</xdr:colOff>
                <xdr:row>85</xdr:row>
                <xdr:rowOff>45720</xdr:rowOff>
              </to>
            </anchor>
          </controlPr>
        </control>
      </mc:Choice>
      <mc:Fallback>
        <control shapeId="11271" r:id="rId22" name="Control 7"/>
      </mc:Fallback>
    </mc:AlternateContent>
    <mc:AlternateContent xmlns:mc="http://schemas.openxmlformats.org/markup-compatibility/2006">
      <mc:Choice Requires="x14">
        <control shapeId="11270" r:id="rId23" name="Control 6">
          <controlPr defaultSize="0" r:id="rId4">
            <anchor moveWithCells="1">
              <from>
                <xdr:col>4</xdr:col>
                <xdr:colOff>0</xdr:colOff>
                <xdr:row>84</xdr:row>
                <xdr:rowOff>0</xdr:rowOff>
              </from>
              <to>
                <xdr:col>5</xdr:col>
                <xdr:colOff>304800</xdr:colOff>
                <xdr:row>85</xdr:row>
                <xdr:rowOff>45720</xdr:rowOff>
              </to>
            </anchor>
          </controlPr>
        </control>
      </mc:Choice>
      <mc:Fallback>
        <control shapeId="11270" r:id="rId23" name="Control 6"/>
      </mc:Fallback>
    </mc:AlternateContent>
    <mc:AlternateContent xmlns:mc="http://schemas.openxmlformats.org/markup-compatibility/2006">
      <mc:Choice Requires="x14">
        <control shapeId="11269" r:id="rId24" name="Control 5">
          <controlPr defaultSize="0" r:id="rId4">
            <anchor moveWithCells="1">
              <from>
                <xdr:col>2</xdr:col>
                <xdr:colOff>0</xdr:colOff>
                <xdr:row>84</xdr:row>
                <xdr:rowOff>0</xdr:rowOff>
              </from>
              <to>
                <xdr:col>3</xdr:col>
                <xdr:colOff>304800</xdr:colOff>
                <xdr:row>85</xdr:row>
                <xdr:rowOff>45720</xdr:rowOff>
              </to>
            </anchor>
          </controlPr>
        </control>
      </mc:Choice>
      <mc:Fallback>
        <control shapeId="11269" r:id="rId24" name="Control 5"/>
      </mc:Fallback>
    </mc:AlternateContent>
    <mc:AlternateContent xmlns:mc="http://schemas.openxmlformats.org/markup-compatibility/2006">
      <mc:Choice Requires="x14">
        <control shapeId="11268" r:id="rId25" name="Control 4">
          <controlPr defaultSize="0" r:id="rId4">
            <anchor moveWithCells="1">
              <from>
                <xdr:col>4</xdr:col>
                <xdr:colOff>0</xdr:colOff>
                <xdr:row>84</xdr:row>
                <xdr:rowOff>0</xdr:rowOff>
              </from>
              <to>
                <xdr:col>5</xdr:col>
                <xdr:colOff>304800</xdr:colOff>
                <xdr:row>85</xdr:row>
                <xdr:rowOff>45720</xdr:rowOff>
              </to>
            </anchor>
          </controlPr>
        </control>
      </mc:Choice>
      <mc:Fallback>
        <control shapeId="11268" r:id="rId25" name="Control 4"/>
      </mc:Fallback>
    </mc:AlternateContent>
    <mc:AlternateContent xmlns:mc="http://schemas.openxmlformats.org/markup-compatibility/2006">
      <mc:Choice Requires="x14">
        <control shapeId="11267" r:id="rId26" name="Control 3">
          <controlPr defaultSize="0" r:id="rId4">
            <anchor moveWithCells="1">
              <from>
                <xdr:col>2</xdr:col>
                <xdr:colOff>0</xdr:colOff>
                <xdr:row>84</xdr:row>
                <xdr:rowOff>0</xdr:rowOff>
              </from>
              <to>
                <xdr:col>3</xdr:col>
                <xdr:colOff>304800</xdr:colOff>
                <xdr:row>85</xdr:row>
                <xdr:rowOff>45720</xdr:rowOff>
              </to>
            </anchor>
          </controlPr>
        </control>
      </mc:Choice>
      <mc:Fallback>
        <control shapeId="11267" r:id="rId26" name="Control 3"/>
      </mc:Fallback>
    </mc:AlternateContent>
    <mc:AlternateContent xmlns:mc="http://schemas.openxmlformats.org/markup-compatibility/2006">
      <mc:Choice Requires="x14">
        <control shapeId="11266" r:id="rId27" name="Control 2">
          <controlPr defaultSize="0" r:id="rId28">
            <anchor moveWithCells="1">
              <from>
                <xdr:col>4</xdr:col>
                <xdr:colOff>0</xdr:colOff>
                <xdr:row>84</xdr:row>
                <xdr:rowOff>0</xdr:rowOff>
              </from>
              <to>
                <xdr:col>5</xdr:col>
                <xdr:colOff>304800</xdr:colOff>
                <xdr:row>85</xdr:row>
                <xdr:rowOff>45720</xdr:rowOff>
              </to>
            </anchor>
          </controlPr>
        </control>
      </mc:Choice>
      <mc:Fallback>
        <control shapeId="11266" r:id="rId27" name="Control 2"/>
      </mc:Fallback>
    </mc:AlternateContent>
    <mc:AlternateContent xmlns:mc="http://schemas.openxmlformats.org/markup-compatibility/2006">
      <mc:Choice Requires="x14">
        <control shapeId="11265" r:id="rId29" name="Control 1">
          <controlPr defaultSize="0" r:id="rId4">
            <anchor moveWithCells="1">
              <from>
                <xdr:col>2</xdr:col>
                <xdr:colOff>0</xdr:colOff>
                <xdr:row>84</xdr:row>
                <xdr:rowOff>0</xdr:rowOff>
              </from>
              <to>
                <xdr:col>3</xdr:col>
                <xdr:colOff>304800</xdr:colOff>
                <xdr:row>85</xdr:row>
                <xdr:rowOff>45720</xdr:rowOff>
              </to>
            </anchor>
          </controlPr>
        </control>
      </mc:Choice>
      <mc:Fallback>
        <control shapeId="11265" r:id="rId29" name="Control 1"/>
      </mc:Fallback>
    </mc:AlternateContent>
  </control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AAF21-881F-4865-A980-CC3B7EDF18D5}">
  <dimension ref="A1:G42"/>
  <sheetViews>
    <sheetView workbookViewId="0">
      <selection activeCell="B15" sqref="B15"/>
    </sheetView>
  </sheetViews>
  <sheetFormatPr defaultRowHeight="14.4" x14ac:dyDescent="0.3"/>
  <cols>
    <col min="1" max="1" width="36.5546875" style="335" customWidth="1"/>
    <col min="2" max="2" width="10.5546875" style="335" customWidth="1"/>
    <col min="3" max="3" width="16.88671875" style="335" customWidth="1"/>
    <col min="4" max="4" width="8.88671875" style="336"/>
    <col min="5" max="16384" width="8.88671875" style="335"/>
  </cols>
  <sheetData>
    <row r="1" spans="1:6" s="270" customFormat="1" ht="24" thickBot="1" x14ac:dyDescent="0.5">
      <c r="A1" s="13" t="s">
        <v>278</v>
      </c>
      <c r="B1" s="13"/>
      <c r="C1" s="13"/>
      <c r="D1" s="319"/>
    </row>
    <row r="2" spans="1:6" s="270" customFormat="1" ht="15" thickTop="1" x14ac:dyDescent="0.3">
      <c r="D2" s="320"/>
    </row>
    <row r="3" spans="1:6" s="270" customFormat="1" ht="18" x14ac:dyDescent="0.3">
      <c r="A3" s="321" t="s">
        <v>355</v>
      </c>
      <c r="D3" s="320"/>
    </row>
    <row r="4" spans="1:6" s="167" customFormat="1" ht="13.8" x14ac:dyDescent="0.3">
      <c r="A4" s="303"/>
      <c r="D4" s="322"/>
    </row>
    <row r="5" spans="1:6" s="167" customFormat="1" ht="13.8" x14ac:dyDescent="0.3">
      <c r="A5" s="323" t="s">
        <v>356</v>
      </c>
      <c r="B5" s="324">
        <f>'6. Investoinnit'!D54</f>
        <v>826000</v>
      </c>
      <c r="C5" s="325" t="s">
        <v>357</v>
      </c>
      <c r="D5" s="323"/>
      <c r="E5" s="325"/>
      <c r="F5" s="325"/>
    </row>
    <row r="6" spans="1:6" s="167" customFormat="1" ht="13.8" x14ac:dyDescent="0.3">
      <c r="A6" s="323" t="s">
        <v>419</v>
      </c>
      <c r="B6" s="326">
        <v>0.5</v>
      </c>
      <c r="D6" s="327" t="s">
        <v>439</v>
      </c>
      <c r="E6" s="325"/>
      <c r="F6" s="325"/>
    </row>
    <row r="7" spans="1:6" s="167" customFormat="1" ht="13.8" x14ac:dyDescent="0.3">
      <c r="A7" s="323" t="s">
        <v>420</v>
      </c>
      <c r="B7" s="324">
        <f>B6*B5</f>
        <v>413000</v>
      </c>
      <c r="C7" s="325" t="s">
        <v>357</v>
      </c>
      <c r="D7" s="323"/>
      <c r="E7" s="325"/>
      <c r="F7" s="325"/>
    </row>
    <row r="8" spans="1:6" s="167" customFormat="1" ht="13.8" x14ac:dyDescent="0.3">
      <c r="A8" s="323" t="s">
        <v>358</v>
      </c>
      <c r="B8" s="324">
        <f>B5-B7</f>
        <v>413000</v>
      </c>
      <c r="C8" s="325" t="s">
        <v>357</v>
      </c>
      <c r="D8" s="323"/>
      <c r="E8" s="325"/>
      <c r="F8" s="325"/>
    </row>
    <row r="9" spans="1:6" s="167" customFormat="1" ht="13.8" x14ac:dyDescent="0.3">
      <c r="A9" s="323" t="s">
        <v>359</v>
      </c>
      <c r="B9" s="326">
        <v>0.05</v>
      </c>
      <c r="D9" s="328"/>
      <c r="E9" s="325"/>
      <c r="F9" s="325"/>
    </row>
    <row r="10" spans="1:6" s="167" customFormat="1" ht="13.8" x14ac:dyDescent="0.3">
      <c r="A10" s="323"/>
      <c r="B10" s="329"/>
      <c r="D10" s="328"/>
      <c r="E10" s="325"/>
      <c r="F10" s="325"/>
    </row>
    <row r="11" spans="1:6" s="270" customFormat="1" ht="18" x14ac:dyDescent="0.3">
      <c r="A11" s="321" t="s">
        <v>360</v>
      </c>
      <c r="D11" s="320"/>
    </row>
    <row r="12" spans="1:6" s="270" customFormat="1" x14ac:dyDescent="0.3">
      <c r="A12" s="323"/>
      <c r="D12" s="320"/>
    </row>
    <row r="13" spans="1:6" s="167" customFormat="1" ht="13.8" x14ac:dyDescent="0.3">
      <c r="A13" s="330" t="s">
        <v>318</v>
      </c>
      <c r="B13" s="331"/>
      <c r="C13" s="331"/>
      <c r="D13" s="323"/>
      <c r="E13" s="325"/>
    </row>
    <row r="14" spans="1:6" s="167" customFormat="1" ht="13.8" x14ac:dyDescent="0.3">
      <c r="A14" s="323" t="s">
        <v>361</v>
      </c>
      <c r="B14" s="324">
        <f>'6. Investoinnit'!G54*(1-B6)</f>
        <v>39696.997776401862</v>
      </c>
      <c r="C14" s="325" t="s">
        <v>357</v>
      </c>
      <c r="D14" s="323"/>
      <c r="E14" s="325"/>
    </row>
    <row r="15" spans="1:6" s="167" customFormat="1" ht="13.8" x14ac:dyDescent="0.3">
      <c r="A15" s="323" t="s">
        <v>281</v>
      </c>
      <c r="B15" s="324">
        <f>'7. Tuotot ja kulut'!G52</f>
        <v>47932.958959992066</v>
      </c>
      <c r="C15" s="325" t="s">
        <v>357</v>
      </c>
      <c r="D15" s="323"/>
      <c r="E15" s="325"/>
    </row>
    <row r="16" spans="1:6" s="167" customFormat="1" ht="13.8" x14ac:dyDescent="0.3">
      <c r="A16" s="323" t="s">
        <v>282</v>
      </c>
      <c r="B16" s="324">
        <f>B15-B14</f>
        <v>8235.9611835902033</v>
      </c>
      <c r="C16" s="325" t="s">
        <v>357</v>
      </c>
      <c r="D16" s="327" t="s">
        <v>601</v>
      </c>
      <c r="E16" s="325"/>
    </row>
    <row r="17" spans="1:7" s="167" customFormat="1" ht="13.8" x14ac:dyDescent="0.3">
      <c r="A17" s="330" t="s">
        <v>317</v>
      </c>
      <c r="B17" s="331"/>
      <c r="C17" s="331"/>
      <c r="D17" s="323"/>
      <c r="E17" s="325"/>
    </row>
    <row r="18" spans="1:7" s="167" customFormat="1" ht="13.8" x14ac:dyDescent="0.3">
      <c r="A18" s="323" t="s">
        <v>362</v>
      </c>
      <c r="B18" s="332">
        <f>IF(B15&gt;0,B8/'7. Tuotot ja kulut'!G52,"Ei voi laskea")</f>
        <v>8.6162008138224131</v>
      </c>
      <c r="C18" s="325" t="s">
        <v>363</v>
      </c>
      <c r="D18" s="333" t="s">
        <v>458</v>
      </c>
    </row>
    <row r="19" spans="1:7" s="270" customFormat="1" x14ac:dyDescent="0.3">
      <c r="A19" s="325"/>
      <c r="D19" s="320"/>
      <c r="G19" s="334"/>
    </row>
    <row r="20" spans="1:7" s="270" customFormat="1" x14ac:dyDescent="0.3">
      <c r="D20" s="320"/>
      <c r="G20" s="334"/>
    </row>
    <row r="21" spans="1:7" s="270" customFormat="1" x14ac:dyDescent="0.3">
      <c r="D21" s="320"/>
    </row>
    <row r="22" spans="1:7" s="270" customFormat="1" x14ac:dyDescent="0.3">
      <c r="D22" s="320"/>
    </row>
    <row r="23" spans="1:7" s="270" customFormat="1" x14ac:dyDescent="0.3">
      <c r="D23" s="320"/>
    </row>
    <row r="24" spans="1:7" s="270" customFormat="1" x14ac:dyDescent="0.3">
      <c r="D24" s="320"/>
    </row>
    <row r="25" spans="1:7" s="270" customFormat="1" x14ac:dyDescent="0.3">
      <c r="D25" s="320"/>
    </row>
    <row r="26" spans="1:7" s="270" customFormat="1" x14ac:dyDescent="0.3">
      <c r="D26" s="320"/>
    </row>
    <row r="27" spans="1:7" s="270" customFormat="1" x14ac:dyDescent="0.3">
      <c r="D27" s="320"/>
    </row>
    <row r="28" spans="1:7" s="270" customFormat="1" x14ac:dyDescent="0.3">
      <c r="D28" s="320"/>
    </row>
    <row r="29" spans="1:7" s="270" customFormat="1" x14ac:dyDescent="0.3">
      <c r="D29" s="320"/>
    </row>
    <row r="30" spans="1:7" s="270" customFormat="1" x14ac:dyDescent="0.3">
      <c r="D30" s="320"/>
    </row>
    <row r="31" spans="1:7" s="270" customFormat="1" x14ac:dyDescent="0.3">
      <c r="D31" s="320"/>
    </row>
    <row r="32" spans="1:7" s="270" customFormat="1" x14ac:dyDescent="0.3">
      <c r="D32" s="320"/>
    </row>
    <row r="33" spans="4:4" s="270" customFormat="1" x14ac:dyDescent="0.3">
      <c r="D33" s="320"/>
    </row>
    <row r="34" spans="4:4" s="270" customFormat="1" x14ac:dyDescent="0.3">
      <c r="D34" s="320"/>
    </row>
    <row r="35" spans="4:4" s="270" customFormat="1" x14ac:dyDescent="0.3">
      <c r="D35" s="320"/>
    </row>
    <row r="36" spans="4:4" s="270" customFormat="1" x14ac:dyDescent="0.3">
      <c r="D36" s="320"/>
    </row>
    <row r="37" spans="4:4" s="270" customFormat="1" x14ac:dyDescent="0.3">
      <c r="D37" s="320"/>
    </row>
    <row r="38" spans="4:4" s="270" customFormat="1" x14ac:dyDescent="0.3">
      <c r="D38" s="320"/>
    </row>
    <row r="39" spans="4:4" s="270" customFormat="1" x14ac:dyDescent="0.3">
      <c r="D39" s="320"/>
    </row>
    <row r="40" spans="4:4" s="270" customFormat="1" x14ac:dyDescent="0.3">
      <c r="D40" s="320"/>
    </row>
    <row r="41" spans="4:4" s="270" customFormat="1" x14ac:dyDescent="0.3">
      <c r="D41" s="320"/>
    </row>
    <row r="42" spans="4:4" s="270" customFormat="1" x14ac:dyDescent="0.3">
      <c r="D42" s="320"/>
    </row>
  </sheetData>
  <sheetProtection algorithmName="SHA-512" hashValue="xWoHFQSRNPtNwx1254yiSqiW4FFOoxuV7ePpue81NnV0wdGYBwoZlhrri42RW0r4QzzvxHBDNz+ZNatkIZHz+g==" saltValue="oCDEGT/lWsSdjl583q3lXw==" spinCount="100000" sheet="1" objects="1" scenarios="1"/>
  <protectedRanges>
    <protectedRange sqref="B9" name="Alue2"/>
    <protectedRange sqref="B6" name="Alue1"/>
  </protectedRange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10</vt:i4>
      </vt:variant>
    </vt:vector>
  </HeadingPairs>
  <TitlesOfParts>
    <vt:vector size="10" baseType="lpstr">
      <vt:lpstr>OHJE</vt:lpstr>
      <vt:lpstr>1. Syötteet</vt:lpstr>
      <vt:lpstr>2. Laitostyyppi</vt:lpstr>
      <vt:lpstr>3. Tekniikka</vt:lpstr>
      <vt:lpstr>4. Energia</vt:lpstr>
      <vt:lpstr>5. Ravinteet</vt:lpstr>
      <vt:lpstr>6. Investoinnit</vt:lpstr>
      <vt:lpstr>7. Tuotot ja kulut</vt:lpstr>
      <vt:lpstr>8. Kannattavuus</vt:lpstr>
      <vt:lpstr>9. Yhteenveto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Pyykkönen Ville (LUKE)</dc:creator>
  <cp:lastModifiedBy>Pyykkönen Ville (LUKE)</cp:lastModifiedBy>
  <dcterms:created xsi:type="dcterms:W3CDTF">2025-12-05T12:34:57Z</dcterms:created>
  <dcterms:modified xsi:type="dcterms:W3CDTF">2026-04-14T09:59:41Z</dcterms:modified>
</cp:coreProperties>
</file>