
<file path=[Content_Types].xml><?xml version="1.0" encoding="utf-8"?>
<Types xmlns="http://schemas.openxmlformats.org/package/2006/content-types">
  <Default Extension="bin" ContentType="application/vnd.ms-office.activeX"/>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3.xml" ContentType="application/vnd.openxmlformats-officedocument.drawing+xml"/>
  <Override PartName="/xl/activeX/activeX1.xml" ContentType="application/vnd.ms-office.activeX+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5.xml" ContentType="application/vnd.ms-office.activeX+xml"/>
  <Override PartName="/xl/activeX/activeX6.xml" ContentType="application/vnd.ms-office.activeX+xml"/>
  <Override PartName="/xl/activeX/activeX7.xml" ContentType="application/vnd.ms-office.activeX+xml"/>
  <Override PartName="/xl/activeX/activeX8.xml" ContentType="application/vnd.ms-office.activeX+xml"/>
  <Override PartName="/xl/activeX/activeX9.xml" ContentType="application/vnd.ms-office.activeX+xml"/>
  <Override PartName="/xl/activeX/activeX10.xml" ContentType="application/vnd.ms-office.activeX+xml"/>
  <Override PartName="/xl/activeX/activeX11.xml" ContentType="application/vnd.ms-office.activeX+xml"/>
  <Override PartName="/xl/activeX/activeX12.xml" ContentType="application/vnd.ms-office.activeX+xml"/>
  <Override PartName="/xl/activeX/activeX13.xml" ContentType="application/vnd.ms-office.activeX+xml"/>
  <Override PartName="/xl/activeX/activeX14.xml" ContentType="application/vnd.ms-office.activeX+xml"/>
  <Override PartName="/xl/activeX/activeX15.xml" ContentType="application/vnd.ms-office.activeX+xml"/>
  <Override PartName="/xl/activeX/activeX16.xml" ContentType="application/vnd.ms-office.activeX+xml"/>
  <Override PartName="/xl/activeX/activeX17.xml" ContentType="application/vnd.ms-office.activeX+xml"/>
  <Override PartName="/xl/activeX/activeX18.xml" ContentType="application/vnd.ms-office.activeX+xml"/>
  <Override PartName="/xl/activeX/activeX19.xml" ContentType="application/vnd.ms-office.activeX+xml"/>
  <Override PartName="/xl/activeX/activeX20.xml" ContentType="application/vnd.ms-office.activeX+xml"/>
  <Override PartName="/xl/activeX/activeX21.xml" ContentType="application/vnd.ms-office.activeX+xml"/>
  <Override PartName="/xl/activeX/activeX22.xml" ContentType="application/vnd.ms-office.activeX+xml"/>
  <Override PartName="/xl/activeX/activeX23.xml" ContentType="application/vnd.ms-office.activeX+xml"/>
  <Override PartName="/xl/activeX/activeX24.xml" ContentType="application/vnd.ms-office.activeX+xml"/>
  <Override PartName="/xl/activeX/activeX25.xml" ContentType="application/vnd.ms-office.activeX+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xl/python.xml" ContentType="application/vnd.ms-excel.pyth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lukefinland-my.sharepoint.com/personal/ville_pyykkonen_luke_fi/Documents/2026/Biokaasulaskuri Exceliin 2026/"/>
    </mc:Choice>
  </mc:AlternateContent>
  <xr:revisionPtr revIDLastSave="6" documentId="8_{5539C3B7-DF83-4EFC-9BFA-80443C565C53}" xr6:coauthVersionLast="47" xr6:coauthVersionMax="47" xr10:uidLastSave="{AB0129DD-2E95-43A2-89F1-91C1AA3A61F6}"/>
  <bookViews>
    <workbookView xWindow="-108" yWindow="-108" windowWidth="23256" windowHeight="12456" xr2:uid="{3F10E52D-B706-41A1-A19E-A63F12D50C6F}"/>
  </bookViews>
  <sheets>
    <sheet name="INFO" sheetId="27" r:id="rId1"/>
    <sheet name="1. Feedstock" sheetId="2" r:id="rId2"/>
    <sheet name="2. Plant type" sheetId="4" r:id="rId3"/>
    <sheet name="3. Technology" sheetId="7" r:id="rId4"/>
    <sheet name="4. Energy" sheetId="9" r:id="rId5"/>
    <sheet name="5. Nutrients" sheetId="14" r:id="rId6"/>
    <sheet name="6. Investments" sheetId="15" r:id="rId7"/>
    <sheet name="7. Revenues and costs" sheetId="16" r:id="rId8"/>
    <sheet name="8. Profitability" sheetId="23" r:id="rId9"/>
    <sheet name="9. Summary" sheetId="2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15" l="1"/>
  <c r="A25" i="15"/>
  <c r="A26" i="15"/>
  <c r="A24" i="15"/>
  <c r="A22" i="15"/>
  <c r="A23" i="15"/>
  <c r="A21" i="15"/>
  <c r="A13" i="15"/>
  <c r="A14" i="15"/>
  <c r="A12" i="15"/>
  <c r="C30" i="14" a="1"/>
  <c r="C30" i="14" s="1"/>
  <c r="C31" i="14" a="1"/>
  <c r="C31" i="14" s="1"/>
  <c r="C32" i="14" a="1"/>
  <c r="C32" i="14" s="1"/>
  <c r="C33" i="14" a="1"/>
  <c r="C33" i="14" s="1"/>
  <c r="C34" i="14" a="1"/>
  <c r="C34" i="14" s="1"/>
  <c r="C35" i="14" a="1"/>
  <c r="C35" i="14" s="1"/>
  <c r="C29" i="14" a="1"/>
  <c r="C29" i="14" s="1"/>
  <c r="B13" i="7" l="1"/>
  <c r="B4" i="7"/>
  <c r="C68" i="20"/>
  <c r="C69" i="20"/>
  <c r="C70" i="20"/>
  <c r="C71" i="20"/>
  <c r="C72" i="20"/>
  <c r="C73" i="20"/>
  <c r="C74" i="20"/>
  <c r="C75" i="20"/>
  <c r="C95" i="20"/>
  <c r="C96" i="20"/>
  <c r="C97" i="20"/>
  <c r="C98" i="20"/>
  <c r="C99" i="20"/>
  <c r="C100" i="20"/>
  <c r="C101" i="20"/>
  <c r="C94" i="20"/>
  <c r="C90" i="20"/>
  <c r="C91" i="20"/>
  <c r="C92" i="20"/>
  <c r="C89" i="20"/>
  <c r="C84" i="20"/>
  <c r="C85" i="20"/>
  <c r="C86" i="20"/>
  <c r="C87" i="20"/>
  <c r="C83" i="20"/>
  <c r="D42" i="15"/>
  <c r="B111" i="9"/>
  <c r="C40" i="14"/>
  <c r="C41" i="14"/>
  <c r="C42" i="14"/>
  <c r="C43" i="14"/>
  <c r="C44" i="14"/>
  <c r="C45" i="14"/>
  <c r="C10" i="16"/>
  <c r="G10" i="16" s="1"/>
  <c r="D70" i="20" s="1"/>
  <c r="I36" i="15"/>
  <c r="H38" i="9"/>
  <c r="D104" i="20"/>
  <c r="C67" i="20"/>
  <c r="B129" i="9"/>
  <c r="B130" i="9"/>
  <c r="B141" i="9"/>
  <c r="F40" i="2"/>
  <c r="F38" i="2"/>
  <c r="F37" i="2"/>
  <c r="F20" i="2"/>
  <c r="F18" i="2"/>
  <c r="F11" i="2"/>
  <c r="Q11" i="2"/>
  <c r="D11" i="20"/>
  <c r="C35" i="16"/>
  <c r="H42" i="15" l="1"/>
  <c r="G42" i="15"/>
  <c r="C39" i="14"/>
  <c r="D23" i="14"/>
  <c r="B104" i="9"/>
  <c r="N44" i="15"/>
  <c r="G19" i="14"/>
  <c r="D114" i="20"/>
  <c r="D109" i="20"/>
  <c r="B9" i="15"/>
  <c r="G28" i="16"/>
  <c r="D84" i="20" s="1"/>
  <c r="F45" i="15"/>
  <c r="D45" i="15" s="1"/>
  <c r="H45" i="15" s="1"/>
  <c r="B50" i="7"/>
  <c r="F47" i="15" s="1"/>
  <c r="F46" i="15"/>
  <c r="F35" i="15"/>
  <c r="F17" i="15"/>
  <c r="F16" i="15"/>
  <c r="F15" i="15"/>
  <c r="F18" i="15"/>
  <c r="F32" i="15"/>
  <c r="H17" i="9" l="1"/>
  <c r="B105" i="9"/>
  <c r="B100" i="9"/>
  <c r="D23" i="7"/>
  <c r="F26" i="15" s="1"/>
  <c r="D22" i="7"/>
  <c r="F25" i="15" s="1"/>
  <c r="D21" i="7"/>
  <c r="F24" i="15" s="1"/>
  <c r="D50" i="15" l="1"/>
  <c r="G50" i="15" l="1"/>
  <c r="H50" i="15"/>
  <c r="B24" i="4" l="1"/>
  <c r="F15" i="2" l="1"/>
  <c r="Q15" i="2"/>
  <c r="G45" i="16"/>
  <c r="D101" i="20" s="1"/>
  <c r="G44" i="16"/>
  <c r="D100" i="20" s="1"/>
  <c r="G43" i="16"/>
  <c r="D99" i="20" s="1"/>
  <c r="G36" i="16"/>
  <c r="D92" i="20" s="1"/>
  <c r="G29" i="16"/>
  <c r="D85" i="20" s="1"/>
  <c r="G30" i="16"/>
  <c r="D86" i="20" s="1"/>
  <c r="G31" i="16"/>
  <c r="D87" i="20" s="1"/>
  <c r="G17" i="16"/>
  <c r="D77" i="20" s="1"/>
  <c r="D16" i="20" l="1"/>
  <c r="D24" i="15"/>
  <c r="D25" i="15"/>
  <c r="D26" i="15"/>
  <c r="M27" i="15"/>
  <c r="D18" i="7"/>
  <c r="D19" i="7"/>
  <c r="F19" i="15"/>
  <c r="D19" i="15" s="1"/>
  <c r="F20" i="15"/>
  <c r="D20" i="15" s="1"/>
  <c r="D18" i="15"/>
  <c r="D15" i="15"/>
  <c r="D16" i="15"/>
  <c r="D17" i="15"/>
  <c r="D27" i="15"/>
  <c r="D30" i="15"/>
  <c r="D31" i="15"/>
  <c r="D32" i="15"/>
  <c r="D35" i="15"/>
  <c r="D39" i="15"/>
  <c r="G45" i="15"/>
  <c r="D46" i="15"/>
  <c r="D47" i="15"/>
  <c r="D48" i="15"/>
  <c r="D49" i="15"/>
  <c r="D51" i="15"/>
  <c r="D52" i="15"/>
  <c r="D53" i="15"/>
  <c r="F22" i="15" l="1"/>
  <c r="D22" i="15" s="1"/>
  <c r="F23" i="15"/>
  <c r="D23" i="15" s="1"/>
  <c r="G20" i="15"/>
  <c r="H20" i="15"/>
  <c r="G25" i="15"/>
  <c r="H25" i="15"/>
  <c r="G35" i="15"/>
  <c r="H35" i="15"/>
  <c r="G27" i="15"/>
  <c r="H27" i="15"/>
  <c r="G47" i="15"/>
  <c r="H47" i="15"/>
  <c r="G42" i="16" s="1"/>
  <c r="D98" i="20" s="1"/>
  <c r="G15" i="15"/>
  <c r="H15" i="15"/>
  <c r="G46" i="15"/>
  <c r="H46" i="15"/>
  <c r="G18" i="15"/>
  <c r="H18" i="15"/>
  <c r="G39" i="15"/>
  <c r="H39" i="15"/>
  <c r="G24" i="15"/>
  <c r="H24" i="15"/>
  <c r="G52" i="15"/>
  <c r="H52" i="15"/>
  <c r="G17" i="15"/>
  <c r="H17" i="15"/>
  <c r="G19" i="15"/>
  <c r="H19" i="15"/>
  <c r="G26" i="15"/>
  <c r="H26" i="15"/>
  <c r="G32" i="15"/>
  <c r="H32" i="15"/>
  <c r="G53" i="15"/>
  <c r="H53" i="15"/>
  <c r="G31" i="15"/>
  <c r="H31" i="15"/>
  <c r="G30" i="15"/>
  <c r="H30" i="15"/>
  <c r="G51" i="15"/>
  <c r="H51" i="15"/>
  <c r="G49" i="15"/>
  <c r="H49" i="15"/>
  <c r="G48" i="15"/>
  <c r="H48" i="15"/>
  <c r="G16" i="15"/>
  <c r="H16" i="15"/>
  <c r="B69" i="7"/>
  <c r="B70" i="7"/>
  <c r="G23" i="15" l="1"/>
  <c r="H23" i="15"/>
  <c r="H22" i="15"/>
  <c r="G22" i="15"/>
  <c r="B101" i="9"/>
  <c r="B8" i="7" l="1"/>
  <c r="D8" i="7" s="1"/>
  <c r="B98" i="9"/>
  <c r="C27" i="16"/>
  <c r="G27" i="16" s="1"/>
  <c r="D83" i="20" s="1"/>
  <c r="D5" i="20"/>
  <c r="B17" i="7"/>
  <c r="D6" i="20"/>
  <c r="D9" i="7"/>
  <c r="D10" i="7"/>
  <c r="F14" i="15" l="1"/>
  <c r="D14" i="15" s="1"/>
  <c r="B99" i="9"/>
  <c r="F12" i="15"/>
  <c r="F13" i="15"/>
  <c r="D13" i="15" s="1"/>
  <c r="D17" i="7"/>
  <c r="G13" i="15" l="1"/>
  <c r="H13" i="15"/>
  <c r="G14" i="15"/>
  <c r="H14" i="15"/>
  <c r="F21" i="15"/>
  <c r="D21" i="15" s="1"/>
  <c r="D12" i="15"/>
  <c r="H21" i="15" l="1"/>
  <c r="G21" i="15"/>
  <c r="H12" i="15"/>
  <c r="G12" i="15"/>
  <c r="F12" i="2" l="1"/>
  <c r="F9" i="2"/>
  <c r="F6" i="2"/>
  <c r="F27" i="2"/>
  <c r="F8" i="2"/>
  <c r="F13" i="2"/>
  <c r="F31" i="2"/>
  <c r="F10" i="2"/>
  <c r="F23" i="2"/>
  <c r="F25" i="2"/>
  <c r="F36" i="2"/>
  <c r="F42" i="2"/>
  <c r="F29" i="2"/>
  <c r="F21" i="2"/>
  <c r="F34" i="2"/>
  <c r="F22" i="2"/>
  <c r="F7" i="2"/>
  <c r="F33" i="2"/>
  <c r="F41" i="2"/>
  <c r="F24" i="2"/>
  <c r="F39" i="2"/>
  <c r="F26" i="2"/>
  <c r="F19" i="2"/>
  <c r="F28" i="2"/>
  <c r="F32" i="2"/>
  <c r="F14" i="2"/>
  <c r="F16" i="2"/>
  <c r="F5" i="2"/>
  <c r="Q12" i="2"/>
  <c r="Q9" i="2"/>
  <c r="Q6" i="2"/>
  <c r="Q27" i="2"/>
  <c r="Q8" i="2"/>
  <c r="Q13" i="2"/>
  <c r="Q31" i="2"/>
  <c r="Q10" i="2"/>
  <c r="Q23" i="2"/>
  <c r="Q25" i="2"/>
  <c r="Q36" i="2"/>
  <c r="Q42" i="2"/>
  <c r="Q29" i="2"/>
  <c r="Q21" i="2"/>
  <c r="Q34" i="2"/>
  <c r="Q22" i="2"/>
  <c r="Q7" i="2"/>
  <c r="Q33" i="2"/>
  <c r="Q41" i="2"/>
  <c r="Q24" i="2"/>
  <c r="Q39" i="2"/>
  <c r="Q26" i="2"/>
  <c r="Q19" i="2"/>
  <c r="Q28" i="2"/>
  <c r="Q32" i="2"/>
  <c r="Q14" i="2"/>
  <c r="Q16" i="2"/>
  <c r="Q5" i="2"/>
  <c r="C48" i="2"/>
  <c r="B123" i="9" s="1"/>
  <c r="J47" i="2" l="1"/>
  <c r="J48" i="2" s="1"/>
  <c r="I14" i="14" s="1"/>
  <c r="M47" i="2"/>
  <c r="B125" i="9" s="1"/>
  <c r="H47" i="2"/>
  <c r="H48" i="2" s="1"/>
  <c r="I47" i="2"/>
  <c r="I48" i="2" s="1"/>
  <c r="B102" i="9"/>
  <c r="B97" i="9"/>
  <c r="Q48" i="2"/>
  <c r="G47" i="2" s="1"/>
  <c r="D8" i="20"/>
  <c r="D3" i="14"/>
  <c r="B9" i="4"/>
  <c r="F47" i="2"/>
  <c r="D47" i="2"/>
  <c r="B124" i="9" s="1"/>
  <c r="B126" i="9" s="1"/>
  <c r="B127" i="9" s="1"/>
  <c r="K47" i="2"/>
  <c r="K48" i="2" s="1"/>
  <c r="I15" i="14" s="1"/>
  <c r="I45" i="14" l="1"/>
  <c r="I35" i="14"/>
  <c r="I44" i="14"/>
  <c r="I34" i="14"/>
  <c r="B69" i="14"/>
  <c r="I12" i="14"/>
  <c r="B10" i="4"/>
  <c r="D48" i="2"/>
  <c r="D9" i="20" s="1"/>
  <c r="D10" i="20"/>
  <c r="F48" i="2"/>
  <c r="E47" i="2"/>
  <c r="G48" i="2"/>
  <c r="L47" i="2" s="1" a="1"/>
  <c r="L47" i="2" s="1"/>
  <c r="I42" i="14" l="1"/>
  <c r="I32" i="14"/>
  <c r="B13" i="4"/>
  <c r="F41" i="15" s="1"/>
  <c r="C50" i="2"/>
  <c r="C54" i="2" s="1"/>
  <c r="C51" i="2"/>
  <c r="C53" i="2" s="1"/>
  <c r="C52" i="2"/>
  <c r="B14" i="4" l="1"/>
  <c r="B112" i="9"/>
  <c r="D41" i="15"/>
  <c r="B16" i="4"/>
  <c r="B17" i="4" s="1"/>
  <c r="G35" i="16"/>
  <c r="D91" i="20" s="1"/>
  <c r="B109" i="9"/>
  <c r="D12" i="20"/>
  <c r="B41" i="7"/>
  <c r="G41" i="15" l="1"/>
  <c r="H41" i="15"/>
  <c r="B18" i="4"/>
  <c r="B62" i="7"/>
  <c r="B34" i="7"/>
  <c r="B33" i="7"/>
  <c r="B131" i="9" s="1"/>
  <c r="B133" i="9" s="1"/>
  <c r="B40" i="7"/>
  <c r="B134" i="9" l="1"/>
  <c r="B137" i="9"/>
  <c r="B136" i="9"/>
  <c r="B93" i="9"/>
  <c r="B144" i="9" s="1"/>
  <c r="B94" i="9"/>
  <c r="B63" i="7"/>
  <c r="B66" i="7" s="1"/>
  <c r="F29" i="15"/>
  <c r="D29" i="15" s="1"/>
  <c r="F38" i="15"/>
  <c r="D38" i="15" s="1"/>
  <c r="F37" i="15"/>
  <c r="D37" i="15" s="1"/>
  <c r="F28" i="15"/>
  <c r="D28" i="15" s="1"/>
  <c r="F40" i="15"/>
  <c r="D40" i="15" s="1"/>
  <c r="F33" i="15"/>
  <c r="D33" i="15" s="1"/>
  <c r="B35" i="7"/>
  <c r="D15" i="20" s="1"/>
  <c r="D17" i="20"/>
  <c r="B143" i="9" l="1"/>
  <c r="B135" i="9"/>
  <c r="B142" i="9" s="1"/>
  <c r="G37" i="15"/>
  <c r="H37" i="15"/>
  <c r="H33" i="15"/>
  <c r="G33" i="15"/>
  <c r="G40" i="15"/>
  <c r="H40" i="15"/>
  <c r="H38" i="15"/>
  <c r="G38" i="15"/>
  <c r="B67" i="7"/>
  <c r="B68" i="7" s="1"/>
  <c r="B64" i="7" s="1"/>
  <c r="B71" i="7" s="1"/>
  <c r="B73" i="7"/>
  <c r="G29" i="15"/>
  <c r="H29" i="15"/>
  <c r="G28" i="15"/>
  <c r="H28" i="15"/>
  <c r="B145" i="9" l="1"/>
  <c r="B147" i="9" s="1"/>
  <c r="B72" i="7"/>
  <c r="B42" i="7" s="1"/>
  <c r="B146" i="9" l="1"/>
  <c r="B27" i="9" s="1"/>
  <c r="B3" i="9"/>
  <c r="B5" i="9" s="1"/>
  <c r="B6" i="9" s="1"/>
  <c r="B43" i="7"/>
  <c r="B45" i="7" s="1"/>
  <c r="B62" i="14" s="1"/>
  <c r="B63" i="14" s="1"/>
  <c r="D27" i="9" l="1"/>
  <c r="D35" i="9" s="1"/>
  <c r="B64" i="14"/>
  <c r="B65" i="14" s="1"/>
  <c r="B66" i="14" s="1"/>
  <c r="B67" i="14" s="1"/>
  <c r="B68" i="14" s="1"/>
  <c r="B70" i="14" s="1"/>
  <c r="B71" i="14" s="1"/>
  <c r="K18" i="14" s="1"/>
  <c r="D18" i="9"/>
  <c r="D17" i="9"/>
  <c r="B4" i="9"/>
  <c r="D24" i="20" s="1"/>
  <c r="D5" i="14"/>
  <c r="D19" i="9"/>
  <c r="F19" i="9" s="1"/>
  <c r="D23" i="20"/>
  <c r="D16" i="9"/>
  <c r="D32" i="20" l="1"/>
  <c r="B12" i="9"/>
  <c r="B110" i="9"/>
  <c r="D46" i="20"/>
  <c r="B38" i="9"/>
  <c r="J38" i="9" s="1"/>
  <c r="D43" i="20"/>
  <c r="D44" i="20" s="1"/>
  <c r="F43" i="15"/>
  <c r="D43" i="15" s="1"/>
  <c r="B37" i="9"/>
  <c r="F44" i="15"/>
  <c r="D44" i="15" s="1"/>
  <c r="I13" i="14"/>
  <c r="G18" i="14"/>
  <c r="D4" i="14"/>
  <c r="I11" i="14" s="1"/>
  <c r="B107" i="9"/>
  <c r="B106" i="9"/>
  <c r="F16" i="9"/>
  <c r="I9" i="14"/>
  <c r="B113" i="9"/>
  <c r="F17" i="9"/>
  <c r="B108" i="9"/>
  <c r="D25" i="20"/>
  <c r="B39" i="9"/>
  <c r="F18" i="9"/>
  <c r="F38" i="9" l="1"/>
  <c r="B13" i="9"/>
  <c r="B20" i="9" s="1"/>
  <c r="D20" i="9" s="1"/>
  <c r="D12" i="9"/>
  <c r="F12" i="9" s="1"/>
  <c r="G20" i="14"/>
  <c r="C19" i="16"/>
  <c r="G19" i="16" s="1"/>
  <c r="D79" i="20" s="1"/>
  <c r="D52" i="20"/>
  <c r="D29" i="20"/>
  <c r="I31" i="14"/>
  <c r="I41" i="14"/>
  <c r="I29" i="14"/>
  <c r="D20" i="20" s="1"/>
  <c r="I39" i="14"/>
  <c r="I43" i="14"/>
  <c r="I33" i="14"/>
  <c r="J39" i="9"/>
  <c r="N39" i="9" s="1"/>
  <c r="F37" i="9"/>
  <c r="H37" i="9" s="1"/>
  <c r="C9" i="16" s="1"/>
  <c r="G9" i="16" s="1"/>
  <c r="D69" i="20" s="1"/>
  <c r="N38" i="9"/>
  <c r="G44" i="15"/>
  <c r="H44" i="15"/>
  <c r="G40" i="16" s="1"/>
  <c r="D96" i="20" s="1"/>
  <c r="I10" i="14"/>
  <c r="D11" i="14"/>
  <c r="D12" i="14"/>
  <c r="D48" i="20" s="1"/>
  <c r="D13" i="14"/>
  <c r="D49" i="20" s="1"/>
  <c r="D15" i="14"/>
  <c r="D51" i="20" s="1"/>
  <c r="D14" i="14"/>
  <c r="D50" i="20" s="1"/>
  <c r="D28" i="20"/>
  <c r="F34" i="15"/>
  <c r="D34" i="15" s="1"/>
  <c r="G43" i="15"/>
  <c r="H43" i="15"/>
  <c r="G39" i="16" s="1"/>
  <c r="D95" i="20" s="1"/>
  <c r="D15" i="9" l="1"/>
  <c r="D14" i="9"/>
  <c r="D53" i="20"/>
  <c r="D19" i="20"/>
  <c r="D59" i="20"/>
  <c r="P38" i="9"/>
  <c r="C14" i="16"/>
  <c r="C15" i="16"/>
  <c r="G15" i="16" s="1"/>
  <c r="D75" i="20" s="1"/>
  <c r="E33" i="14"/>
  <c r="D62" i="20" s="1"/>
  <c r="B36" i="9"/>
  <c r="D36" i="20" s="1"/>
  <c r="F15" i="9"/>
  <c r="C38" i="16"/>
  <c r="G38" i="16" s="1"/>
  <c r="D94" i="20" s="1"/>
  <c r="F14" i="9"/>
  <c r="D27" i="20" s="1"/>
  <c r="B103" i="9"/>
  <c r="B116" i="9" s="1"/>
  <c r="B28" i="9" s="1"/>
  <c r="D28" i="9" s="1"/>
  <c r="D36" i="9" s="1"/>
  <c r="D37" i="20" s="1"/>
  <c r="D31" i="20"/>
  <c r="B35" i="9"/>
  <c r="F35" i="9" s="1"/>
  <c r="C34" i="16" s="1"/>
  <c r="D10" i="14"/>
  <c r="D47" i="20" s="1"/>
  <c r="I30" i="14"/>
  <c r="E30" i="14" s="1"/>
  <c r="D60" i="20" s="1"/>
  <c r="I40" i="14"/>
  <c r="E40" i="14" s="1"/>
  <c r="D54" i="20" s="1"/>
  <c r="E41" i="14"/>
  <c r="E43" i="14"/>
  <c r="D56" i="20" s="1"/>
  <c r="E44" i="14"/>
  <c r="D57" i="20" s="1"/>
  <c r="E45" i="14"/>
  <c r="D58" i="20" s="1"/>
  <c r="E42" i="14"/>
  <c r="D55" i="20" s="1"/>
  <c r="E35" i="14"/>
  <c r="D64" i="20" s="1"/>
  <c r="E34" i="14"/>
  <c r="D63" i="20" s="1"/>
  <c r="E32" i="14"/>
  <c r="D61" i="20" s="1"/>
  <c r="E31" i="14"/>
  <c r="J37" i="9"/>
  <c r="N37" i="9" s="1"/>
  <c r="C13" i="16" s="1"/>
  <c r="D41" i="20"/>
  <c r="P39" i="9"/>
  <c r="H34" i="15"/>
  <c r="G34" i="15"/>
  <c r="P37" i="9" l="1"/>
  <c r="G14" i="16"/>
  <c r="D74" i="20" s="1"/>
  <c r="G13" i="16"/>
  <c r="D73" i="20" s="1"/>
  <c r="B117" i="9"/>
  <c r="B119" i="9" s="1"/>
  <c r="H36" i="15"/>
  <c r="H54" i="15" s="1"/>
  <c r="G41" i="16" s="1"/>
  <c r="D97" i="20" s="1"/>
  <c r="D26" i="20"/>
  <c r="F36" i="15"/>
  <c r="D36" i="15" s="1"/>
  <c r="H35" i="9"/>
  <c r="C7" i="16" s="1"/>
  <c r="F36" i="9"/>
  <c r="D33" i="20" l="1"/>
  <c r="J35" i="9"/>
  <c r="N35" i="9" s="1"/>
  <c r="G36" i="15"/>
  <c r="G54" i="15" s="1"/>
  <c r="B14" i="23" s="1"/>
  <c r="D115" i="20" s="1"/>
  <c r="D54" i="15"/>
  <c r="H36" i="9"/>
  <c r="C8" i="16" s="1"/>
  <c r="C33" i="16"/>
  <c r="G33" i="16" s="1"/>
  <c r="D89" i="20" s="1"/>
  <c r="G34" i="16"/>
  <c r="D90" i="20" s="1"/>
  <c r="C11" i="16" l="1"/>
  <c r="G11" i="16" s="1"/>
  <c r="D71" i="20" s="1"/>
  <c r="P35" i="9"/>
  <c r="D34" i="20"/>
  <c r="D107" i="20"/>
  <c r="B5" i="23"/>
  <c r="B7" i="23" s="1"/>
  <c r="D110" i="20" s="1"/>
  <c r="G47" i="16"/>
  <c r="D103" i="20" s="1"/>
  <c r="D38" i="20"/>
  <c r="G8" i="16"/>
  <c r="D68" i="20" s="1"/>
  <c r="J36" i="9"/>
  <c r="G7" i="16"/>
  <c r="D67" i="20" l="1"/>
  <c r="B8" i="23"/>
  <c r="D111" i="20" s="1"/>
  <c r="G49" i="16"/>
  <c r="D105" i="20"/>
  <c r="N36" i="9"/>
  <c r="D39" i="20" l="1"/>
  <c r="C12" i="16"/>
  <c r="G12" i="16" s="1"/>
  <c r="P36" i="9"/>
  <c r="D72" i="20" l="1"/>
  <c r="D80" i="20" s="1"/>
  <c r="G22" i="16"/>
  <c r="G52" i="16" s="1"/>
  <c r="B15" i="23" s="1"/>
  <c r="D116" i="20" l="1"/>
  <c r="B16" i="23"/>
  <c r="D117" i="20" s="1"/>
  <c r="B18" i="23"/>
  <c r="D119"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Pyykkönen Ville (LUKE)</author>
  </authors>
  <commentList>
    <comment ref="A38" authorId="0" shapeId="0" xr:uid="{9BF081E1-6C52-47CC-8DE5-75DACB1BDCDB}">
      <text>
        <r>
          <rPr>
            <b/>
            <sz val="9"/>
            <color indexed="81"/>
            <rFont val="Tahoma"/>
            <family val="2"/>
          </rPr>
          <t>Instruction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Pyykkönen Ville (LUKE)</author>
  </authors>
  <commentList>
    <comment ref="D2" authorId="0" shapeId="0" xr:uid="{5BEFD140-3610-43EF-BACE-0DF82E327C8A}">
      <text>
        <r>
          <rPr>
            <sz val="9"/>
            <color indexed="81"/>
            <rFont val="Tahoma"/>
            <family val="2"/>
          </rPr>
          <t>TS = total solids =
kuiva-aine</t>
        </r>
      </text>
    </comment>
    <comment ref="F2" authorId="0" shapeId="0" xr:uid="{390FD6AD-56C2-4FDF-B84A-EC7C6B44233F}">
      <text>
        <r>
          <rPr>
            <sz val="9"/>
            <color indexed="81"/>
            <rFont val="Tahoma"/>
            <family val="2"/>
          </rPr>
          <t xml:space="preserve">VS = volatile solids = orgaaninen aine (hehkutushäviö)
</t>
        </r>
      </text>
    </comment>
    <comment ref="G2" authorId="0" shapeId="0" xr:uid="{543BC16E-DEEF-4310-B673-2BBFBA3D75C9}">
      <text>
        <r>
          <rPr>
            <b/>
            <sz val="9"/>
            <color indexed="81"/>
            <rFont val="Tahoma"/>
            <family val="2"/>
          </rPr>
          <t>BMP</t>
        </r>
        <r>
          <rPr>
            <sz val="9"/>
            <color indexed="81"/>
            <rFont val="Tahoma"/>
            <family val="2"/>
          </rPr>
          <t xml:space="preserve"> = Biochemical Methane Potential = metaanintuottopotentiaali</t>
        </r>
      </text>
    </comment>
    <comment ref="I2" authorId="0" shapeId="0" xr:uid="{820239E9-ADEB-4961-993A-D5E8DF7DC68B}">
      <text>
        <r>
          <rPr>
            <sz val="9"/>
            <color indexed="81"/>
            <rFont val="Tahoma"/>
            <family val="2"/>
          </rPr>
          <t xml:space="preserve">Soluble nitrogen, quickly available for uptake by plants from soil 
</t>
        </r>
      </text>
    </comment>
    <comment ref="L2" authorId="0" shapeId="0" xr:uid="{AAAB49A1-53D1-4E99-9D10-6BFE01A7437E}">
      <text>
        <r>
          <rPr>
            <sz val="9"/>
            <color indexed="81"/>
            <rFont val="Tahoma"/>
            <family val="2"/>
          </rPr>
          <t xml:space="preserve">CH4 volume concentration of biogas
</t>
        </r>
      </text>
    </comment>
    <comment ref="C46" authorId="0" shapeId="0" xr:uid="{88922569-C407-43DC-8D91-854B44E0CE27}">
      <text>
        <r>
          <rPr>
            <sz val="9"/>
            <color indexed="81"/>
            <rFont val="Tahoma"/>
            <family val="2"/>
          </rPr>
          <t>You can add dilution water if necessary (e.g. if the total soids concentration of feed mixture is &gt; 20%).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Pyykkönen Ville (LUKE)</author>
  </authors>
  <commentList>
    <comment ref="B22" authorId="0" shapeId="0" xr:uid="{8F899BD3-CD64-47BA-A305-43E7BB034CB4}">
      <text>
        <r>
          <rPr>
            <sz val="9"/>
            <color indexed="81"/>
            <rFont val="Tahoma"/>
            <family val="2"/>
          </rPr>
          <t xml:space="preserve">Oletusarvo: 15.
Jos syöteseoksen ka-pitoisuus alittaa valitun arvon, syötettä ei laimenneta nestejakeella.
</t>
        </r>
      </text>
    </comment>
    <comment ref="B23" authorId="0" shapeId="0" xr:uid="{CA6E58A3-4107-48F7-B5F2-8E2A36A2EF79}">
      <text>
        <r>
          <rPr>
            <sz val="9"/>
            <color indexed="81"/>
            <rFont val="Tahoma"/>
            <family val="2"/>
          </rPr>
          <t xml:space="preserve">Oletusarvo: 5,0
</t>
        </r>
      </text>
    </comment>
    <comment ref="B24" authorId="0" shapeId="0" xr:uid="{781AC475-4704-4DAE-9C17-43A2402899BC}">
      <text>
        <r>
          <rPr>
            <sz val="9"/>
            <color indexed="81"/>
            <rFont val="Tahoma"/>
            <family val="2"/>
          </rPr>
          <t xml:space="preserve">VS = orgaaninen aine. Oletusarvo: 0,7*ka-pitoisuus (esim. 0,7*5 %=3,5 %
</t>
        </r>
      </text>
    </comment>
    <comment ref="B25" authorId="0" shapeId="0" xr:uid="{90B32A00-5424-42A1-B5D9-9857232FFFA2}">
      <text>
        <r>
          <rPr>
            <sz val="9"/>
            <color indexed="81"/>
            <rFont val="Tahoma"/>
            <family val="2"/>
          </rPr>
          <t xml:space="preserve">Nestejakeen sisältämän orgaanisen aineen metaanintuottopotentiaali, oletusarvo: 40. 
(Mädätteestä separoitu nestejae tuottaa vielä jonkin verran metaania, jos sitä palautetaan reaktoriin.)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Pyykkönen Ville (LUKE)</author>
  </authors>
  <commentList>
    <comment ref="B8" authorId="0" shapeId="0" xr:uid="{BA323DAD-7BB3-45C5-A949-28B084FD3712}">
      <text>
        <r>
          <rPr>
            <b/>
            <sz val="9"/>
            <color indexed="81"/>
            <rFont val="Tahoma"/>
            <family val="2"/>
          </rPr>
          <t>Add the annual sludge feed amount if the biogas plant includes a sludge feed tank.
--</t>
        </r>
        <r>
          <rPr>
            <sz val="9"/>
            <color indexed="81"/>
            <rFont val="Tahoma"/>
            <family val="2"/>
          </rPr>
          <t>If necessary, liquid / sludge / slurry-like feedstocks can be divided among multiple tanks.
--Default: The biogas calculator retrieves here the total of sludge-type feedstocks (identifier Sludge on the Feedstocks tab).
--Enter 0 or leave blank if the biogas plant does not include a liquid/slurry/sludge feed tank.</t>
        </r>
      </text>
    </comment>
    <comment ref="B17" authorId="0" shapeId="0" xr:uid="{873B2A94-6522-4C25-A111-259D8000C7AD}">
      <text>
        <r>
          <rPr>
            <b/>
            <sz val="9"/>
            <color indexed="81"/>
            <rFont val="Tahoma"/>
            <family val="2"/>
          </rPr>
          <t xml:space="preserve">--Add the annual amount of solid feedstocks (t/a) if the plant includes the relevant tank.
</t>
        </r>
        <r>
          <rPr>
            <sz val="9"/>
            <color indexed="81"/>
            <rFont val="Tahoma"/>
            <family val="2"/>
          </rPr>
          <t>--Default: The biogas calculator retrieves here the total of solid feedstocks (Solid identifier on the Feedstocks tab).</t>
        </r>
        <r>
          <rPr>
            <b/>
            <sz val="9"/>
            <color indexed="81"/>
            <rFont val="Tahoma"/>
            <family val="2"/>
          </rPr>
          <t xml:space="preserve">
</t>
        </r>
        <r>
          <rPr>
            <sz val="9"/>
            <color indexed="81"/>
            <rFont val="Tahoma"/>
            <family val="2"/>
          </rPr>
          <t xml:space="preserve">--You can choose an uncovered (e.g. bunker silo) or a covered tank.
--If necessary, solid feedstocks can be divided among multiple tanks.
--If the biogas plant does not include a solid feedstock tank, enter 0 or leave blank.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Pyykkönen Ville (LUKE)</author>
  </authors>
  <commentList>
    <comment ref="B12" authorId="0" shapeId="0" xr:uid="{63862AE4-0FC4-4743-BFF9-49888D66DB0B}">
      <text>
        <r>
          <rPr>
            <sz val="9"/>
            <color indexed="81"/>
            <rFont val="Tahoma"/>
            <family val="2"/>
          </rPr>
          <t xml:space="preserve">Default: =10000D35/(B3*H12)
The default formula calculates the share of gas that needs to be burned in the heat boiler in order to cover the biogas plant’s heat consumption.
</t>
        </r>
        <r>
          <rPr>
            <b/>
            <sz val="9"/>
            <color indexed="81"/>
            <rFont val="Tahoma"/>
            <family val="2"/>
          </rPr>
          <t>You can change the value as needed within the range 0–100.</t>
        </r>
      </text>
    </comment>
    <comment ref="H12" authorId="0" shapeId="0" xr:uid="{0B18B9A5-CA37-4BD0-8AF6-893E12AA2779}">
      <text>
        <r>
          <rPr>
            <sz val="9"/>
            <color indexed="81"/>
            <rFont val="Tahoma"/>
            <family val="2"/>
          </rPr>
          <t xml:space="preserve">Default value: 85–90%, meaning that 10–15% of the heat generated from biogas combustion is lost as waste heat.
</t>
        </r>
      </text>
    </comment>
    <comment ref="H14" authorId="0" shapeId="0" xr:uid="{941ABF49-0B10-427A-9A22-E7705D526CBA}">
      <text>
        <r>
          <rPr>
            <sz val="9"/>
            <color indexed="81"/>
            <rFont val="Tahoma"/>
            <family val="2"/>
          </rPr>
          <t xml:space="preserve">Default value: 62%.
Note: The overall efficiency of a CHP unit (electricity + heat) can be at most approximately 93–95%.
</t>
        </r>
      </text>
    </comment>
    <comment ref="H15" authorId="0" shapeId="0" xr:uid="{D9DE4A5F-DEB7-4D82-8E50-6E230F4C3BD0}">
      <text>
        <r>
          <rPr>
            <sz val="9"/>
            <color indexed="81"/>
            <rFont val="Tahoma"/>
            <family val="2"/>
          </rPr>
          <t xml:space="preserve">Default value: 31%. Can vary, for example, between 25–40% depending on the size of the CHP unit (electrical efficiency typically increases with increasing unit size).
</t>
        </r>
      </text>
    </comment>
    <comment ref="H16" authorId="0" shapeId="0" xr:uid="{E53DD6FE-F4A6-45D2-9AC5-528D5172DBA5}">
      <text>
        <r>
          <rPr>
            <sz val="9"/>
            <color indexed="81"/>
            <rFont val="Tahoma"/>
            <family val="2"/>
          </rPr>
          <t xml:space="preserve">Default: 98, meaning a 2% methane loss.
</t>
        </r>
      </text>
    </comment>
    <comment ref="D27" authorId="0" shapeId="0" xr:uid="{99F8EAAC-310F-4F62-8B0E-74344195CDA1}">
      <text>
        <r>
          <rPr>
            <sz val="9"/>
            <color indexed="81"/>
            <rFont val="Tahoma"/>
            <family val="2"/>
          </rPr>
          <t>Default: the proposal calculated by the Biogas Tool.
You can change the value if desired.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Pyykkönen Ville (LUKE)</author>
  </authors>
  <commentList>
    <comment ref="D39" authorId="0" shapeId="0" xr:uid="{AC4C99A5-9637-4DE7-B654-3EB06EED891C}">
      <text>
        <r>
          <rPr>
            <sz val="9"/>
            <color indexed="81"/>
            <rFont val="Tahoma"/>
            <family val="2"/>
          </rPr>
          <t>Esim. 11 000 €. Pienet maatilalaitokset eivät tarvitse soihtua.</t>
        </r>
      </text>
    </comment>
    <comment ref="D42" authorId="0" shapeId="0" xr:uid="{0382DB8E-ECE6-4305-A393-3D149CD8F323}">
      <text>
        <r>
          <rPr>
            <sz val="9"/>
            <color indexed="81"/>
            <rFont val="Tahoma"/>
            <family val="2"/>
          </rPr>
          <t xml:space="preserve">Maatilamittakaavassa (esim. 2-4 lypsyrobotin maitotila) arviolta noin 100 000 €.
</t>
        </r>
      </text>
    </comment>
    <comment ref="D44" authorId="0" shapeId="0" xr:uid="{5E891143-988B-48B0-937E-7CECC21D3122}">
      <text>
        <r>
          <rPr>
            <sz val="9"/>
            <color indexed="81"/>
            <rFont val="Tahoma"/>
            <family val="2"/>
          </rPr>
          <t>126 000 €, jos raakakaasun jalostuskapasiteetti 60-150 m3/h (525 600-1 314 000 m3/a). 
157 500 €, jos raakakaasukapasiteetti yli 300 m3/h.</t>
        </r>
      </text>
    </comment>
    <comment ref="D45" authorId="0" shapeId="0" xr:uid="{F3A6BD42-0C10-40D0-8F00-5CE1F18B2FFE}">
      <text>
        <r>
          <rPr>
            <sz val="9"/>
            <color indexed="81"/>
            <rFont val="Tahoma"/>
            <family val="2"/>
          </rPr>
          <t>Oletus: 1000 m2*50 €/m2 = 50 000 €</t>
        </r>
      </text>
    </comment>
    <comment ref="D48" authorId="0" shapeId="0" xr:uid="{4EDED5FB-F60E-46B9-8277-CD653E8C3F43}">
      <text>
        <r>
          <rPr>
            <sz val="9"/>
            <color indexed="81"/>
            <rFont val="Tahoma"/>
            <family val="2"/>
          </rPr>
          <t xml:space="preserve">Pienentää syötteen hygienisoinnin vaatimaan alle 12 mm palakokoon. Koosta riippuen esim. 50 000-150 000 €.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Pyykkönen Ville (LUKE)</author>
  </authors>
  <commentList>
    <comment ref="C44" authorId="0" shapeId="0" xr:uid="{DC05A97F-7384-4D19-AE72-313CC44E5463}">
      <text>
        <r>
          <rPr>
            <sz val="9"/>
            <color indexed="81"/>
            <rFont val="Tahoma"/>
            <family val="2"/>
          </rPr>
          <t>Default: 0,5 h/d = 182,5 h/a</t>
        </r>
      </text>
    </comment>
    <comment ref="C47" authorId="0" shapeId="0" xr:uid="{23A73EC7-1A12-496D-BBED-6C90D853244A}">
      <text>
        <r>
          <rPr>
            <sz val="9"/>
            <color indexed="81"/>
            <rFont val="Tahoma"/>
            <family val="2"/>
          </rPr>
          <t xml:space="preserve">Default value: 0.5% of the non-subsidised investment cost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Pyykkönen Ville (LUKE)</author>
  </authors>
  <commentList>
    <comment ref="B6" authorId="0" shapeId="0" xr:uid="{09758164-10CB-4F59-B382-21E2E3BA7E6F}">
      <text>
        <r>
          <rPr>
            <sz val="9"/>
            <color indexed="81"/>
            <rFont val="Tahoma"/>
            <family val="2"/>
          </rPr>
          <t xml:space="preserve">Oletus 50% </t>
        </r>
      </text>
    </comment>
    <comment ref="B9" authorId="0" shapeId="0" xr:uid="{3F3B0062-BCD9-47CE-BB17-8343F4EB0F0D}">
      <text>
        <r>
          <rPr>
            <sz val="9"/>
            <color indexed="81"/>
            <rFont val="Tahoma"/>
            <family val="2"/>
          </rPr>
          <t xml:space="preserve">Oletus 5%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<sst xmlns="http://schemas.openxmlformats.org/spreadsheetml/2006/main" count="1057" uniqueCount="610">
  <si>
    <t>Syöte</t>
  </si>
  <si>
    <t>BMP</t>
  </si>
  <si>
    <t>N</t>
  </si>
  <si>
    <t>K</t>
  </si>
  <si>
    <t>%</t>
  </si>
  <si>
    <t>kg/t</t>
  </si>
  <si>
    <t>°C</t>
  </si>
  <si>
    <t>-</t>
  </si>
  <si>
    <t xml:space="preserve">P </t>
  </si>
  <si>
    <t>t/a</t>
  </si>
  <si>
    <t>t VS/a</t>
  </si>
  <si>
    <t xml:space="preserve">Muu prosessitekniikka </t>
  </si>
  <si>
    <t>LÄMPÖHÄVIÖ SYLINTERIN MUOTOISESTA REAKTORISTA  YMPÄRISTÖÖN (vain pohja on maata vasten, muuten kosketuksissa ilmaan)</t>
  </si>
  <si>
    <t>Ulkoilman lämpötila (°C)</t>
  </si>
  <si>
    <t>Maan lämpötila  (°C)</t>
  </si>
  <si>
    <t>Reaktorin korkeus, h (m)</t>
  </si>
  <si>
    <t>Säde, r (m)</t>
  </si>
  <si>
    <t>Pohjan ala, A (m2)</t>
  </si>
  <si>
    <t>Katon ala, A (m2)</t>
  </si>
  <si>
    <t>Sylinterin vaipan ala, A (m2)</t>
  </si>
  <si>
    <t>Tarkistus, V (m3)</t>
  </si>
  <si>
    <t>Eristeen paksuus (m)</t>
  </si>
  <si>
    <t>MWh</t>
  </si>
  <si>
    <t>Reaktorin sekoittimet</t>
  </si>
  <si>
    <t>Reaktorin kaksoimembraanin puhallin</t>
  </si>
  <si>
    <t>Jälkikaasualtaan sekoitin</t>
  </si>
  <si>
    <t>Jälkikaasualtaan kaksoismembraanin puhallin</t>
  </si>
  <si>
    <t>Ilman syöttö reaktoriin</t>
  </si>
  <si>
    <t>Lietteiden syöttöpumppu</t>
  </si>
  <si>
    <t>Lietesyötesäiliön sekoitin</t>
  </si>
  <si>
    <t xml:space="preserve">Syöttöruuvi </t>
  </si>
  <si>
    <t xml:space="preserve">Murskain (apevaunu) + syöttölaite </t>
  </si>
  <si>
    <t>Reaktorin lämmityskierron pumput</t>
  </si>
  <si>
    <t>Biokaasupuhallin (CHP-yksikkö ja/tai lämpökattila)</t>
  </si>
  <si>
    <t>Hygienisointiyksikkö</t>
  </si>
  <si>
    <t>Jalostus liikennebiokaasuksi</t>
  </si>
  <si>
    <t>Liikennebiokaasun paineistus (250 bar)</t>
  </si>
  <si>
    <t>Tankkausasema</t>
  </si>
  <si>
    <t>Ruuvipuristin + syöttöpumppu (syötteen laimennus)</t>
  </si>
  <si>
    <t>Mädätteen nestejakeen syöttöpumppu reaktoriin</t>
  </si>
  <si>
    <t>Mädätteen poistopumppu</t>
  </si>
  <si>
    <t>Mädätesäiliön sekoitin</t>
  </si>
  <si>
    <t>Sähkönkulutus yhteensä kWh</t>
  </si>
  <si>
    <t>kW</t>
  </si>
  <si>
    <t>Tekniikka</t>
  </si>
  <si>
    <t>d</t>
  </si>
  <si>
    <r>
      <rPr>
        <sz val="11"/>
        <color theme="1"/>
        <rFont val="Aptos Narrow"/>
        <family val="2"/>
      </rPr>
      <t>°</t>
    </r>
    <r>
      <rPr>
        <sz val="11"/>
        <color theme="1"/>
        <rFont val="Aptos Narrow"/>
        <family val="2"/>
        <scheme val="minor"/>
      </rPr>
      <t>C</t>
    </r>
  </si>
  <si>
    <r>
      <t>m</t>
    </r>
    <r>
      <rPr>
        <vertAlign val="superscript"/>
        <sz val="11"/>
        <color theme="1"/>
        <rFont val="Aptos Narrow"/>
        <family val="2"/>
        <scheme val="minor"/>
      </rPr>
      <t>3</t>
    </r>
  </si>
  <si>
    <r>
      <t>kg VS / (m</t>
    </r>
    <r>
      <rPr>
        <vertAlign val="superscript"/>
        <sz val="11"/>
        <color theme="1"/>
        <rFont val="Aptos Narrow"/>
        <family val="2"/>
        <scheme val="minor"/>
      </rPr>
      <t>3</t>
    </r>
    <r>
      <rPr>
        <sz val="11"/>
        <color theme="1"/>
        <rFont val="Aptos Narrow"/>
        <family val="2"/>
        <scheme val="minor"/>
      </rPr>
      <t xml:space="preserve"> d)</t>
    </r>
  </si>
  <si>
    <t>Tekniikka-välilehti: Separointi</t>
  </si>
  <si>
    <r>
      <t>m</t>
    </r>
    <r>
      <rPr>
        <vertAlign val="superscript"/>
        <sz val="11"/>
        <color theme="1"/>
        <rFont val="Aptos Narrow"/>
        <family val="2"/>
        <scheme val="minor"/>
      </rPr>
      <t>3</t>
    </r>
    <r>
      <rPr>
        <sz val="11"/>
        <color theme="1"/>
        <rFont val="Aptos Narrow"/>
        <family val="2"/>
        <scheme val="minor"/>
      </rPr>
      <t xml:space="preserve"> CH</t>
    </r>
    <r>
      <rPr>
        <vertAlign val="subscript"/>
        <sz val="11"/>
        <color theme="1"/>
        <rFont val="Aptos Narrow"/>
        <family val="2"/>
        <scheme val="minor"/>
      </rPr>
      <t>4</t>
    </r>
    <r>
      <rPr>
        <sz val="11"/>
        <color theme="1"/>
        <rFont val="Aptos Narrow"/>
        <family val="2"/>
        <scheme val="minor"/>
      </rPr>
      <t xml:space="preserve">/a </t>
    </r>
  </si>
  <si>
    <r>
      <t>m</t>
    </r>
    <r>
      <rPr>
        <vertAlign val="superscript"/>
        <sz val="11"/>
        <color theme="1"/>
        <rFont val="Aptos Narrow"/>
        <family val="2"/>
        <scheme val="minor"/>
      </rPr>
      <t>3</t>
    </r>
    <r>
      <rPr>
        <sz val="11"/>
        <color theme="1"/>
        <rFont val="Aptos Narrow"/>
        <family val="2"/>
        <scheme val="minor"/>
      </rPr>
      <t xml:space="preserve"> CH</t>
    </r>
    <r>
      <rPr>
        <vertAlign val="subscript"/>
        <sz val="11"/>
        <color theme="1"/>
        <rFont val="Aptos Narrow"/>
        <family val="2"/>
        <scheme val="minor"/>
      </rPr>
      <t>4</t>
    </r>
    <r>
      <rPr>
        <sz val="11"/>
        <color theme="1"/>
        <rFont val="Aptos Narrow"/>
        <family val="2"/>
        <scheme val="minor"/>
      </rPr>
      <t>/t VS</t>
    </r>
  </si>
  <si>
    <t>MWh/a</t>
  </si>
  <si>
    <t xml:space="preserve">Jälkikaasualtaan prosessitilavuus	</t>
  </si>
  <si>
    <r>
      <t>m</t>
    </r>
    <r>
      <rPr>
        <b/>
        <vertAlign val="superscript"/>
        <sz val="11"/>
        <color theme="1"/>
        <rFont val="Aptos Narrow"/>
        <family val="2"/>
        <scheme val="minor"/>
      </rPr>
      <t>3</t>
    </r>
    <r>
      <rPr>
        <b/>
        <sz val="11"/>
        <color theme="1"/>
        <rFont val="Aptos Narrow"/>
        <family val="2"/>
        <scheme val="minor"/>
      </rPr>
      <t xml:space="preserve">/a </t>
    </r>
  </si>
  <si>
    <t>Investointikustannus</t>
  </si>
  <si>
    <t>Haettu Syötteet-välilehdeltä olomuoto-tunnisteen perusteella (Liete/Kiinteä)</t>
  </si>
  <si>
    <t xml:space="preserve">REAKTORI: </t>
  </si>
  <si>
    <t>Syöte tFM/d</t>
  </si>
  <si>
    <t>Syöte VS %</t>
  </si>
  <si>
    <t>θ = HRT (vrk)</t>
  </si>
  <si>
    <t>BMP per päivä m3CH4/d</t>
  </si>
  <si>
    <t>Haettu</t>
  </si>
  <si>
    <t xml:space="preserve">Haettu </t>
  </si>
  <si>
    <t>Laskettu tässä</t>
  </si>
  <si>
    <t>Ok, = 0,013*T-0,129</t>
  </si>
  <si>
    <t>Erottelukerroin</t>
  </si>
  <si>
    <t xml:space="preserve"> =(26,491*Vvarasto+28273)*1,08 jossa
Vvarasto on varaston tilavuus, ei membraanikatetta</t>
  </si>
  <si>
    <t xml:space="preserve"> =6 000*1,08</t>
  </si>
  <si>
    <t xml:space="preserve"> =10 500*1,08</t>
  </si>
  <si>
    <t xml:space="preserve"> =(43,863*Vvarasto+10435)*1,08, jossa
Vvarasto on varaston tilavuus</t>
  </si>
  <si>
    <t xml:space="preserve"> =(87,727*Vvarasto+20870)*1,08</t>
  </si>
  <si>
    <t xml:space="preserve"> =61700*1,08</t>
  </si>
  <si>
    <t xml:space="preserve">Kiinteän  syötteen varastot </t>
  </si>
  <si>
    <t xml:space="preserve"> =(84,55125*VR+80599,05)*1,08, jossa VR
on reaktorin prosessitilavuus</t>
  </si>
  <si>
    <t xml:space="preserve"> =(13,2132*VR+7150,185)*1,08 jossa VR
on reaktorin prosessitilavuus</t>
  </si>
  <si>
    <t>€/kg</t>
  </si>
  <si>
    <t>€/a</t>
  </si>
  <si>
    <t>kg/a</t>
  </si>
  <si>
    <t xml:space="preserve"> t/a </t>
  </si>
  <si>
    <t xml:space="preserve"> % </t>
  </si>
  <si>
    <t xml:space="preserve"> d </t>
  </si>
  <si>
    <t>Varastointitilan tarve</t>
  </si>
  <si>
    <t xml:space="preserve"> kg </t>
  </si>
  <si>
    <t xml:space="preserve"> t </t>
  </si>
  <si>
    <t xml:space="preserve"> a </t>
  </si>
  <si>
    <t>Syötteet</t>
  </si>
  <si>
    <t>Syötelista</t>
  </si>
  <si>
    <r>
      <t xml:space="preserve"> m</t>
    </r>
    <r>
      <rPr>
        <vertAlign val="superscript"/>
        <sz val="11"/>
        <color theme="1"/>
        <rFont val="Aptos Narrow"/>
        <family val="2"/>
        <scheme val="minor"/>
      </rPr>
      <t>3</t>
    </r>
    <r>
      <rPr>
        <sz val="11"/>
        <color theme="1"/>
        <rFont val="Aptos Narrow"/>
        <family val="2"/>
        <scheme val="minor"/>
      </rPr>
      <t xml:space="preserve">/a </t>
    </r>
  </si>
  <si>
    <r>
      <t>m</t>
    </r>
    <r>
      <rPr>
        <vertAlign val="superscript"/>
        <sz val="11"/>
        <color theme="1"/>
        <rFont val="Aptos Narrow"/>
        <family val="2"/>
        <scheme val="minor"/>
      </rPr>
      <t>3</t>
    </r>
    <r>
      <rPr>
        <sz val="11"/>
        <color theme="1"/>
        <rFont val="Aptos Narrow"/>
        <family val="2"/>
        <scheme val="minor"/>
      </rPr>
      <t>/a</t>
    </r>
  </si>
  <si>
    <t>Tekniikka-välilehti: Murskaus ja syöttö</t>
  </si>
  <si>
    <t>€/t</t>
  </si>
  <si>
    <t>h/a</t>
  </si>
  <si>
    <t>€/h</t>
  </si>
  <si>
    <t>€</t>
  </si>
  <si>
    <t>a</t>
  </si>
  <si>
    <t>Huomioidaan biokaasulaitoksen kaasuntuotossa</t>
  </si>
  <si>
    <t>Annuiteetti (€/a)</t>
  </si>
  <si>
    <t>Metaanintuotto / Sähkönkulutus</t>
  </si>
  <si>
    <t>Biometaani kWh*0,02</t>
  </si>
  <si>
    <t>Biometaani kWh*0,03</t>
  </si>
  <si>
    <t>Biometaani kWh*0,005 (0,5 % e.sis.)</t>
  </si>
  <si>
    <t>0,6 kWh/t*separoitava määrä</t>
  </si>
  <si>
    <t>0,4 kWh*lietesmäiset syötteet</t>
  </si>
  <si>
    <t>0,4 kWh/t*mädäte t/a</t>
  </si>
  <si>
    <t>SISÄLTÄÄKÖ MÄDÄTESÄILIÖN</t>
  </si>
  <si>
    <t>kWh/tonni</t>
  </si>
  <si>
    <t xml:space="preserve">Hygienisointiyksikkö </t>
  </si>
  <si>
    <t>ok</t>
  </si>
  <si>
    <t>JOS-funktio</t>
  </si>
  <si>
    <t>ville.pyykkonen@luke.fi</t>
  </si>
  <si>
    <t xml:space="preserve"> =(84,55125*VJ+80599,05)*1,08, jossa VJ
on jälkikaasualtaan prosessitilavuus</t>
  </si>
  <si>
    <t xml:space="preserve"> =((13,2132*VJ+7150,185)/2)*1,08, eli
puolet halvempi kuin reaktorin sekoitin.
VJ on jälkikaasualtaan prosessitilavuus</t>
  </si>
  <si>
    <t xml:space="preserve"> =56 600*1,08</t>
  </si>
  <si>
    <t xml:space="preserve"> =(3,34257*VR+38007,9)*1,08</t>
  </si>
  <si>
    <t xml:space="preserve"> =(105*P+6562,5)*1,08, jossa P on kattilan
lämpöteho (kW)</t>
  </si>
  <si>
    <t xml:space="preserve"> =46000*1,08</t>
  </si>
  <si>
    <t xml:space="preserve"> =(2388,225*EKSPONENTTI(-
0,003*P)*P+45950)*1,08</t>
  </si>
  <si>
    <t>Hinnan laskentakaava (v. 2023 hintataso)</t>
  </si>
  <si>
    <t xml:space="preserve"> =10000*1,08</t>
  </si>
  <si>
    <t xml:space="preserve"> =50 000*1,08</t>
  </si>
  <si>
    <t xml:space="preserve"> =(2720,5*[raakakaasu
m3/h]+114812)*1,05</t>
  </si>
  <si>
    <t xml:space="preserve"> =(45*A)*1,08, jossa A on maatöiden
pinta-ala (m2)</t>
  </si>
  <si>
    <t>Ylläpitokust.  (€/a)</t>
  </si>
  <si>
    <t>Ylläpito % inv./a</t>
  </si>
  <si>
    <r>
      <t xml:space="preserve"> m</t>
    </r>
    <r>
      <rPr>
        <vertAlign val="superscript"/>
        <sz val="11"/>
        <color theme="1"/>
        <rFont val="Aptos Narrow"/>
        <family val="2"/>
        <scheme val="minor"/>
      </rPr>
      <t>3</t>
    </r>
  </si>
  <si>
    <r>
      <t xml:space="preserve"> =(10,282125*V</t>
    </r>
    <r>
      <rPr>
        <vertAlign val="subscript"/>
        <sz val="11"/>
        <color theme="0"/>
        <rFont val="Aptos Narrow"/>
        <family val="2"/>
        <scheme val="minor"/>
      </rPr>
      <t>R</t>
    </r>
    <r>
      <rPr>
        <sz val="11"/>
        <color theme="0"/>
        <rFont val="Aptos Narrow"/>
        <family val="2"/>
        <scheme val="minor"/>
      </rPr>
      <t>+71452,5)*1,08</t>
    </r>
  </si>
  <si>
    <r>
      <t xml:space="preserve"> =(5,95371*V</t>
    </r>
    <r>
      <rPr>
        <vertAlign val="subscript"/>
        <sz val="11"/>
        <color theme="0"/>
        <rFont val="Aptos Narrow"/>
        <family val="2"/>
        <scheme val="minor"/>
      </rPr>
      <t>R</t>
    </r>
    <r>
      <rPr>
        <sz val="11"/>
        <color theme="0"/>
        <rFont val="Aptos Narrow"/>
        <family val="2"/>
        <scheme val="minor"/>
      </rPr>
      <t>+41373,15)*1,08</t>
    </r>
  </si>
  <si>
    <r>
      <t xml:space="preserve"> =(1,011045*V</t>
    </r>
    <r>
      <rPr>
        <vertAlign val="subscript"/>
        <sz val="11"/>
        <color theme="0"/>
        <rFont val="Aptos Narrow"/>
        <family val="2"/>
        <scheme val="minor"/>
      </rPr>
      <t>R</t>
    </r>
    <r>
      <rPr>
        <sz val="11"/>
        <color theme="0"/>
        <rFont val="Aptos Narrow"/>
        <family val="2"/>
        <scheme val="minor"/>
      </rPr>
      <t>+20887,65)*1,08</t>
    </r>
  </si>
  <si>
    <t xml:space="preserve">MWh/a	</t>
  </si>
  <si>
    <t xml:space="preserve"> =120 000*1,05 (jos raakakaasukapasiteetti
on 60-150 m3/h), 150000*1,05,
jos 300 m3/h tai enemmän</t>
  </si>
  <si>
    <t>(525 600-1 314 000 m3/a).</t>
  </si>
  <si>
    <t xml:space="preserve">€/MWh  </t>
  </si>
  <si>
    <t>€/MWh</t>
  </si>
  <si>
    <t>–</t>
  </si>
  <si>
    <t>(MWh/a)</t>
  </si>
  <si>
    <t>Ruuvipuristin LANNOITTEEN TUOTANTOON</t>
  </si>
  <si>
    <t>kWh/t mädätettä, JOS valittu linkosep</t>
  </si>
  <si>
    <t>kWh</t>
  </si>
  <si>
    <t>kWh/d/m3 R pros.til.</t>
  </si>
  <si>
    <t>Dekantterilinko LANNOITTEEN TUOTANTOON</t>
  </si>
  <si>
    <t xml:space="preserve">SYÖTTEEN LÄMMITYSENERGIA </t>
  </si>
  <si>
    <t>Syöte t/v</t>
  </si>
  <si>
    <t>Syöte TS %</t>
  </si>
  <si>
    <t>Syötteen lämpötila (°C)</t>
  </si>
  <si>
    <t>Syötteen lämmitys  tavoitelämötilaan (kWh/v)</t>
  </si>
  <si>
    <t>Tarkistus syötteen lämm. (kWh/vrk)</t>
  </si>
  <si>
    <t>Sekoittimien tuottama lämpö (kWh/v)</t>
  </si>
  <si>
    <t>REAKTORIN KOKONAISLÄMMÖNKULUTUS kWh/v</t>
  </si>
  <si>
    <t>MWh/v</t>
  </si>
  <si>
    <t>Tarkistus: kWh/d</t>
  </si>
  <si>
    <t>Reaktorin lämmönjohtavuus:</t>
  </si>
  <si>
    <r>
      <t>m</t>
    </r>
    <r>
      <rPr>
        <b/>
        <vertAlign val="superscript"/>
        <sz val="11"/>
        <color theme="0"/>
        <rFont val="Aptos Narrow"/>
        <family val="2"/>
        <scheme val="minor"/>
      </rPr>
      <t>3</t>
    </r>
    <r>
      <rPr>
        <b/>
        <sz val="11"/>
        <color theme="0"/>
        <rFont val="Aptos Narrow"/>
        <family val="2"/>
        <scheme val="minor"/>
      </rPr>
      <t xml:space="preserve"> CH</t>
    </r>
    <r>
      <rPr>
        <b/>
        <vertAlign val="subscript"/>
        <sz val="11"/>
        <color theme="0"/>
        <rFont val="Aptos Narrow"/>
        <family val="2"/>
        <scheme val="minor"/>
      </rPr>
      <t>4</t>
    </r>
    <r>
      <rPr>
        <b/>
        <sz val="11"/>
        <color theme="0"/>
        <rFont val="Aptos Narrow"/>
        <family val="2"/>
        <scheme val="minor"/>
      </rPr>
      <t>/t VS</t>
    </r>
  </si>
  <si>
    <t xml:space="preserve"> =C31/100*(I10+'2. Laitostyyppi'!B13+'2. Laitostyyppi'!B15-('2. Laitostyyppi'!B26/100*'2. Laitostyyppi'!B15))</t>
  </si>
  <si>
    <t>1 MWh = 1000 kWh</t>
  </si>
  <si>
    <t>Tuotettu m3 CH4/a</t>
  </si>
  <si>
    <t>t CH4/a</t>
  </si>
  <si>
    <t>Tuotettu CO2</t>
  </si>
  <si>
    <t>t CO2/a</t>
  </si>
  <si>
    <t>Biokaasun massa t/a</t>
  </si>
  <si>
    <t>0,6*VS-vähenemä</t>
  </si>
  <si>
    <t>Org. N vähenemä (%)</t>
  </si>
  <si>
    <t>VS-vähenemä (%)</t>
  </si>
  <si>
    <t>Mädätteen org. N (t/a)</t>
  </si>
  <si>
    <t>Syötteen org. N (t/a)</t>
  </si>
  <si>
    <t>VS- ja org. N -vähenemät</t>
  </si>
  <si>
    <t>Mädätteen liuk. N lisä (t/a)</t>
  </si>
  <si>
    <r>
      <t xml:space="preserve"> kg VS / (m</t>
    </r>
    <r>
      <rPr>
        <vertAlign val="superscript"/>
        <sz val="11"/>
        <color theme="1"/>
        <rFont val="Aptos Narrow"/>
        <family val="2"/>
        <scheme val="minor"/>
      </rPr>
      <t>3</t>
    </r>
    <r>
      <rPr>
        <sz val="11"/>
        <color theme="1"/>
        <rFont val="Aptos Narrow"/>
        <family val="2"/>
        <scheme val="minor"/>
      </rPr>
      <t xml:space="preserve"> d) </t>
    </r>
  </si>
  <si>
    <t xml:space="preserve">JKA: </t>
  </si>
  <si>
    <t>Viipymä jälkikaasualtaassa</t>
  </si>
  <si>
    <r>
      <rPr>
        <sz val="11"/>
        <color theme="0"/>
        <rFont val="Aptos Narrow"/>
        <family val="2"/>
      </rPr>
      <t>°</t>
    </r>
    <r>
      <rPr>
        <sz val="11"/>
        <color theme="0"/>
        <rFont val="Aptos Narrow"/>
        <family val="2"/>
        <scheme val="minor"/>
      </rPr>
      <t>C</t>
    </r>
  </si>
  <si>
    <r>
      <t>m</t>
    </r>
    <r>
      <rPr>
        <vertAlign val="superscript"/>
        <sz val="11"/>
        <color theme="0"/>
        <rFont val="Aptos Narrow"/>
        <family val="2"/>
        <scheme val="minor"/>
      </rPr>
      <t>3</t>
    </r>
  </si>
  <si>
    <t>Pudotusvalikko</t>
  </si>
  <si>
    <t>€/MWh (tuotettu sähkö); voi muuttaa välilehdellä "7. Tuotot ja kulut".</t>
  </si>
  <si>
    <r>
      <t>G</t>
    </r>
    <r>
      <rPr>
        <b/>
        <sz val="11"/>
        <color theme="0"/>
        <rFont val="Aptos Narrow"/>
        <family val="2"/>
        <scheme val="minor"/>
      </rPr>
      <t xml:space="preserve"> = tuotto (Nm</t>
    </r>
    <r>
      <rPr>
        <b/>
        <vertAlign val="superscript"/>
        <sz val="11"/>
        <color theme="0"/>
        <rFont val="Aptos Narrow"/>
        <family val="2"/>
        <scheme val="minor"/>
      </rPr>
      <t>3</t>
    </r>
    <r>
      <rPr>
        <b/>
        <sz val="11"/>
        <color theme="0"/>
        <rFont val="Aptos Narrow"/>
        <family val="2"/>
        <scheme val="minor"/>
      </rPr>
      <t>CH</t>
    </r>
    <r>
      <rPr>
        <b/>
        <vertAlign val="subscript"/>
        <sz val="11"/>
        <color theme="0"/>
        <rFont val="Aptos Narrow"/>
        <family val="2"/>
        <scheme val="minor"/>
      </rPr>
      <t>4</t>
    </r>
    <r>
      <rPr>
        <b/>
        <sz val="11"/>
        <color theme="0"/>
        <rFont val="Aptos Narrow"/>
        <family val="2"/>
        <scheme val="minor"/>
      </rPr>
      <t>/d/m</t>
    </r>
    <r>
      <rPr>
        <b/>
        <vertAlign val="superscript"/>
        <sz val="11"/>
        <color theme="0"/>
        <rFont val="Aptos Narrow"/>
        <family val="2"/>
        <scheme val="minor"/>
      </rPr>
      <t xml:space="preserve">3 </t>
    </r>
    <r>
      <rPr>
        <b/>
        <sz val="11"/>
        <color theme="0"/>
        <rFont val="Aptos Narrow"/>
        <family val="2"/>
        <scheme val="minor"/>
      </rPr>
      <t>r.nestettä)</t>
    </r>
  </si>
  <si>
    <r>
      <t>B</t>
    </r>
    <r>
      <rPr>
        <vertAlign val="subscript"/>
        <sz val="11"/>
        <color theme="0"/>
        <rFont val="Aptos Narrow"/>
        <family val="2"/>
        <scheme val="minor"/>
      </rPr>
      <t>0</t>
    </r>
    <r>
      <rPr>
        <sz val="11"/>
        <color theme="0"/>
        <rFont val="Aptos Narrow"/>
        <family val="2"/>
        <scheme val="minor"/>
      </rPr>
      <t xml:space="preserve"> =  BMP (Nm</t>
    </r>
    <r>
      <rPr>
        <vertAlign val="superscript"/>
        <sz val="11"/>
        <color theme="0"/>
        <rFont val="Aptos Narrow"/>
        <family val="2"/>
        <scheme val="minor"/>
      </rPr>
      <t>3</t>
    </r>
    <r>
      <rPr>
        <sz val="11"/>
        <color theme="0"/>
        <rFont val="Aptos Narrow"/>
        <family val="2"/>
        <scheme val="minor"/>
      </rPr>
      <t>CH</t>
    </r>
    <r>
      <rPr>
        <vertAlign val="subscript"/>
        <sz val="11"/>
        <color theme="0"/>
        <rFont val="Aptos Narrow"/>
        <family val="2"/>
        <scheme val="minor"/>
      </rPr>
      <t>4</t>
    </r>
    <r>
      <rPr>
        <sz val="11"/>
        <color theme="0"/>
        <rFont val="Aptos Narrow"/>
        <family val="2"/>
        <scheme val="minor"/>
      </rPr>
      <t>/kg VS)</t>
    </r>
  </si>
  <si>
    <r>
      <t>L</t>
    </r>
    <r>
      <rPr>
        <sz val="11"/>
        <color theme="0"/>
        <rFont val="Aptos Narrow"/>
        <family val="2"/>
        <scheme val="minor"/>
      </rPr>
      <t xml:space="preserve"> = OLR </t>
    </r>
  </si>
  <si>
    <r>
      <t>S</t>
    </r>
    <r>
      <rPr>
        <i/>
        <vertAlign val="subscript"/>
        <sz val="11"/>
        <color theme="0"/>
        <rFont val="Aptos Narrow"/>
        <family val="2"/>
        <scheme val="minor"/>
      </rPr>
      <t>0</t>
    </r>
    <r>
      <rPr>
        <i/>
        <sz val="11"/>
        <color theme="0"/>
        <rFont val="Aptos Narrow"/>
        <family val="2"/>
        <scheme val="minor"/>
      </rPr>
      <t xml:space="preserve"> </t>
    </r>
    <r>
      <rPr>
        <sz val="11"/>
        <color theme="0"/>
        <rFont val="Aptos Narrow"/>
        <family val="2"/>
        <scheme val="minor"/>
      </rPr>
      <t>= syötteen VS (kg/m</t>
    </r>
    <r>
      <rPr>
        <vertAlign val="superscript"/>
        <sz val="11"/>
        <color theme="0"/>
        <rFont val="Aptos Narrow"/>
        <family val="2"/>
        <scheme val="minor"/>
      </rPr>
      <t>3</t>
    </r>
    <r>
      <rPr>
        <sz val="11"/>
        <color theme="0"/>
        <rFont val="Aptos Narrow"/>
        <family val="2"/>
        <scheme val="minor"/>
      </rPr>
      <t>)</t>
    </r>
  </si>
  <si>
    <r>
      <t>K</t>
    </r>
    <r>
      <rPr>
        <sz val="11"/>
        <color theme="0"/>
        <rFont val="Aptos Narrow"/>
        <family val="2"/>
        <scheme val="minor"/>
      </rPr>
      <t xml:space="preserve"> = kineettinen parametri</t>
    </r>
  </si>
  <si>
    <r>
      <t>Ok, =2+(0,0016)*EKSPONENTTI(0,06*S</t>
    </r>
    <r>
      <rPr>
        <vertAlign val="subscript"/>
        <sz val="11"/>
        <color theme="0"/>
        <rFont val="Aptos Narrow"/>
        <family val="2"/>
        <scheme val="minor"/>
      </rPr>
      <t>0</t>
    </r>
    <r>
      <rPr>
        <sz val="11"/>
        <color theme="0"/>
        <rFont val="Aptos Narrow"/>
        <family val="2"/>
        <scheme val="minor"/>
      </rPr>
      <t>)</t>
    </r>
  </si>
  <si>
    <r>
      <t>µ</t>
    </r>
    <r>
      <rPr>
        <vertAlign val="subscript"/>
        <sz val="11"/>
        <color theme="0"/>
        <rFont val="Aptos Narrow"/>
        <family val="2"/>
        <scheme val="minor"/>
      </rPr>
      <t>m</t>
    </r>
    <r>
      <rPr>
        <sz val="11"/>
        <color theme="0"/>
        <rFont val="Aptos Narrow"/>
        <family val="2"/>
        <scheme val="minor"/>
      </rPr>
      <t xml:space="preserve"> = max kasvunopeus</t>
    </r>
    <r>
      <rPr>
        <i/>
        <sz val="11"/>
        <color theme="0"/>
        <rFont val="Aptos Narrow"/>
        <family val="2"/>
        <scheme val="minor"/>
      </rPr>
      <t xml:space="preserve"> TÄSSÄ 35 astetta</t>
    </r>
  </si>
  <si>
    <r>
      <t>CH</t>
    </r>
    <r>
      <rPr>
        <vertAlign val="subscript"/>
        <sz val="11"/>
        <color theme="0"/>
        <rFont val="Aptos Narrow"/>
        <family val="2"/>
        <scheme val="minor"/>
      </rPr>
      <t>4</t>
    </r>
    <r>
      <rPr>
        <sz val="11"/>
        <color theme="0"/>
        <rFont val="Aptos Narrow"/>
        <family val="2"/>
        <scheme val="minor"/>
      </rPr>
      <t>-tuotto Nm</t>
    </r>
    <r>
      <rPr>
        <vertAlign val="superscript"/>
        <sz val="11"/>
        <color theme="0"/>
        <rFont val="Aptos Narrow"/>
        <family val="2"/>
        <scheme val="minor"/>
      </rPr>
      <t>3</t>
    </r>
    <r>
      <rPr>
        <sz val="11"/>
        <color theme="0"/>
        <rFont val="Aptos Narrow"/>
        <family val="2"/>
        <scheme val="minor"/>
      </rPr>
      <t>CH</t>
    </r>
    <r>
      <rPr>
        <vertAlign val="subscript"/>
        <sz val="11"/>
        <color theme="0"/>
        <rFont val="Aptos Narrow"/>
        <family val="2"/>
        <scheme val="minor"/>
      </rPr>
      <t>4</t>
    </r>
    <r>
      <rPr>
        <sz val="11"/>
        <color theme="0"/>
        <rFont val="Aptos Narrow"/>
        <family val="2"/>
        <scheme val="minor"/>
      </rPr>
      <t>/d</t>
    </r>
  </si>
  <si>
    <r>
      <t xml:space="preserve">BMP-toteuma </t>
    </r>
    <r>
      <rPr>
        <b/>
        <sz val="11"/>
        <color theme="0"/>
        <rFont val="Aptos Narrow"/>
        <family val="2"/>
        <scheme val="minor"/>
      </rPr>
      <t>R</t>
    </r>
  </si>
  <si>
    <t>Cattle slurry manure</t>
  </si>
  <si>
    <t>Solid fraction separated from cattle slurry</t>
  </si>
  <si>
    <t>Cattle solid manure</t>
  </si>
  <si>
    <t>Pig slurry manure</t>
  </si>
  <si>
    <t>Solid fraction separated from pig slurry</t>
  </si>
  <si>
    <t>Pig solid manure</t>
  </si>
  <si>
    <t>Poultry solid manure</t>
  </si>
  <si>
    <t>Poultry manure, other poultry</t>
  </si>
  <si>
    <t>Poultry manure, laying hens</t>
  </si>
  <si>
    <t>Sheep/goat solid manure</t>
  </si>
  <si>
    <t>Horse solid manure</t>
  </si>
  <si>
    <t>Fur animal solid manure</t>
  </si>
  <si>
    <t>Biowastes and side-streams</t>
  </si>
  <si>
    <t>Feed</t>
  </si>
  <si>
    <t>VS</t>
  </si>
  <si>
    <t>TS</t>
  </si>
  <si>
    <r>
      <t>CH</t>
    </r>
    <r>
      <rPr>
        <b/>
        <vertAlign val="subscript"/>
        <sz val="11"/>
        <color theme="0"/>
        <rFont val="Aptos Narrow"/>
        <family val="2"/>
        <scheme val="minor"/>
      </rPr>
      <t>4</t>
    </r>
  </si>
  <si>
    <t>Yes</t>
  </si>
  <si>
    <t>No</t>
  </si>
  <si>
    <t>Liquid</t>
  </si>
  <si>
    <t>Solid</t>
  </si>
  <si>
    <t>No separation</t>
  </si>
  <si>
    <t>Screw press</t>
  </si>
  <si>
    <t>Centrifuge</t>
  </si>
  <si>
    <t>Retention time of feed in biogas reactor</t>
  </si>
  <si>
    <t>Value</t>
  </si>
  <si>
    <t>Unit</t>
  </si>
  <si>
    <t>Info</t>
  </si>
  <si>
    <t>Process (biogas reactor) temperature</t>
  </si>
  <si>
    <t>Process volume of reactor</t>
  </si>
  <si>
    <t>Organic loading rate of reactor</t>
  </si>
  <si>
    <t>Biogas reactor</t>
  </si>
  <si>
    <t>Technology</t>
  </si>
  <si>
    <t>Choose from drop-down menu --&gt;</t>
  </si>
  <si>
    <t xml:space="preserve">Separation of digestate </t>
  </si>
  <si>
    <t>TS concentration of total feedstock</t>
  </si>
  <si>
    <t xml:space="preserve">Yes, electricity-powered crusher-feeder </t>
  </si>
  <si>
    <t>No crushing, only feeder of solid feedstock (e.g. auger)</t>
  </si>
  <si>
    <t>No crusher nor feeder (no solid feedstock)</t>
  </si>
  <si>
    <t>Crushing of solid feedstock &amp; feeding to biogas reactor</t>
  </si>
  <si>
    <r>
      <t>Density 500 kg/m</t>
    </r>
    <r>
      <rPr>
        <i/>
        <vertAlign val="superscript"/>
        <sz val="11"/>
        <color theme="1"/>
        <rFont val="Aptos Narrow"/>
        <family val="2"/>
        <scheme val="minor"/>
      </rPr>
      <t>3</t>
    </r>
  </si>
  <si>
    <t>Amount (t/a)</t>
  </si>
  <si>
    <r>
      <t>Tank volume (m</t>
    </r>
    <r>
      <rPr>
        <b/>
        <vertAlign val="superscript"/>
        <sz val="11"/>
        <color theme="1"/>
        <rFont val="Aptos Narrow"/>
        <family val="2"/>
        <scheme val="minor"/>
      </rPr>
      <t>3</t>
    </r>
    <r>
      <rPr>
        <b/>
        <sz val="11"/>
        <color theme="1"/>
        <rFont val="Aptos Narrow"/>
        <family val="2"/>
        <scheme val="minor"/>
      </rPr>
      <t>)</t>
    </r>
  </si>
  <si>
    <t>Tank mixer</t>
  </si>
  <si>
    <t>Slurry feed tank 1</t>
  </si>
  <si>
    <t>Slurry feed tank 2</t>
  </si>
  <si>
    <t>Slurry feed tank 3</t>
  </si>
  <si>
    <t>Tanks</t>
  </si>
  <si>
    <t>Slurry / liquid feed tanks</t>
  </si>
  <si>
    <t>Storage tanks for slurry / liquid feedstock</t>
  </si>
  <si>
    <t>Total amount of "Liquid" feeds:</t>
  </si>
  <si>
    <r>
      <t>Storage volume (m</t>
    </r>
    <r>
      <rPr>
        <b/>
        <vertAlign val="superscript"/>
        <sz val="11"/>
        <color theme="1"/>
        <rFont val="Aptos Narrow"/>
        <family val="2"/>
        <scheme val="minor"/>
      </rPr>
      <t>3</t>
    </r>
    <r>
      <rPr>
        <b/>
        <sz val="11"/>
        <color theme="1"/>
        <rFont val="Aptos Narrow"/>
        <family val="2"/>
        <scheme val="minor"/>
      </rPr>
      <t>)</t>
    </r>
  </si>
  <si>
    <t>Storages for sloid feed</t>
  </si>
  <si>
    <t>Total of chosen solid feeds:</t>
  </si>
  <si>
    <t>Pump (to reactor)</t>
  </si>
  <si>
    <t>UNCOVERED storage for solid feed 1</t>
  </si>
  <si>
    <t>UNCOVERED storage for solid feed 2</t>
  </si>
  <si>
    <t>UNCOVERED storage for solid feed 3</t>
  </si>
  <si>
    <t>COVERED storage for solid feed 1</t>
  </si>
  <si>
    <t>COVERED storage for solid feed 2</t>
  </si>
  <si>
    <t>COVERED storage for solid feed 3</t>
  </si>
  <si>
    <t>Possible dilution of feedstock has been taken into account</t>
  </si>
  <si>
    <t>Yellow cell: the user must enter the value manually, e.g. input amounts in fresh tonnes per year (t/a)</t>
  </si>
  <si>
    <t>Light blue cell: contains a drop-down menu with two or more options; the drop-down menu can be accessed by clicking the cell</t>
  </si>
  <si>
    <r>
      <t>Light yellow cell: the user may, if desired, change the default values of the</t>
    </r>
    <r>
      <rPr>
        <sz val="14"/>
        <color rgb="FFFF0000"/>
        <rFont val="Aptos Narrow"/>
        <family val="2"/>
        <scheme val="minor"/>
      </rPr>
      <t xml:space="preserve"> Biogas Tool</t>
    </r>
  </si>
  <si>
    <t>Red triangle in the corner of a cell: a note opens when the mouse pointer is moved over the cell</t>
  </si>
  <si>
    <t>Cells in which the user can make selections (other cells are locked):</t>
  </si>
  <si>
    <t>Quick instructions</t>
  </si>
  <si>
    <t>Start on the tab “1. Feedstock”, where the quantities of the inputs used are specified. Fill in the information as needed on each tab.</t>
  </si>
  <si>
    <t>Municipal biowaste</t>
  </si>
  <si>
    <t>Inland fish</t>
  </si>
  <si>
    <t>Fish processing waste</t>
  </si>
  <si>
    <t>Salmon processing waste</t>
  </si>
  <si>
    <t>Bakery waste</t>
  </si>
  <si>
    <t>Dairy waste (whey)</t>
  </si>
  <si>
    <t>Confectionery waste</t>
  </si>
  <si>
    <t>Fat waste</t>
  </si>
  <si>
    <t>Slaughterhouse waste</t>
  </si>
  <si>
    <t>Vegetable waste</t>
  </si>
  <si>
    <t>Grain sorting waste</t>
  </si>
  <si>
    <t>Glycerol</t>
  </si>
  <si>
    <t>Slurries / sludges</t>
  </si>
  <si>
    <t>Animal manures</t>
  </si>
  <si>
    <t>Plant material / crops</t>
  </si>
  <si>
    <t>Feedstock</t>
  </si>
  <si>
    <t>Sol. N</t>
  </si>
  <si>
    <t>Temp.</t>
  </si>
  <si>
    <r>
      <rPr>
        <b/>
        <sz val="10"/>
        <color rgb="FFFFFFFF"/>
        <rFont val="Aptos Narrow"/>
        <family val="2"/>
      </rPr>
      <t>°</t>
    </r>
    <r>
      <rPr>
        <b/>
        <sz val="10"/>
        <color rgb="FFFFFFFF"/>
        <rFont val="Arial"/>
        <family val="2"/>
      </rPr>
      <t>C</t>
    </r>
  </si>
  <si>
    <t>Form</t>
  </si>
  <si>
    <t>of feed</t>
  </si>
  <si>
    <t>Share of VS</t>
  </si>
  <si>
    <t>in TS (%)</t>
  </si>
  <si>
    <r>
      <t>Total mass t/a (BMP; m</t>
    </r>
    <r>
      <rPr>
        <b/>
        <vertAlign val="superscript"/>
        <sz val="10"/>
        <color theme="1"/>
        <rFont val="Aptos Narrow"/>
        <family val="2"/>
        <scheme val="minor"/>
      </rPr>
      <t>3</t>
    </r>
    <r>
      <rPr>
        <b/>
        <sz val="10"/>
        <color theme="1"/>
        <rFont val="Aptos Narrow"/>
        <family val="2"/>
        <scheme val="minor"/>
      </rPr>
      <t xml:space="preserve"> CH</t>
    </r>
    <r>
      <rPr>
        <b/>
        <vertAlign val="subscript"/>
        <sz val="10"/>
        <color theme="1"/>
        <rFont val="Aptos Narrow"/>
        <family val="2"/>
        <scheme val="minor"/>
      </rPr>
      <t>4</t>
    </r>
    <r>
      <rPr>
        <b/>
        <sz val="10"/>
        <color theme="1"/>
        <rFont val="Aptos Narrow"/>
        <family val="2"/>
        <scheme val="minor"/>
      </rPr>
      <t>/a)</t>
    </r>
  </si>
  <si>
    <t>BMP kWh/a</t>
  </si>
  <si>
    <t>BMP MWh/a</t>
  </si>
  <si>
    <t>BMP kWh/t  feed</t>
  </si>
  <si>
    <r>
      <t>BMP m</t>
    </r>
    <r>
      <rPr>
        <vertAlign val="superscript"/>
        <sz val="11"/>
        <color theme="1"/>
        <rFont val="Aptos Narrow"/>
        <family val="2"/>
        <scheme val="minor"/>
      </rPr>
      <t>3</t>
    </r>
    <r>
      <rPr>
        <sz val="11"/>
        <color theme="1"/>
        <rFont val="Aptos Narrow"/>
        <family val="2"/>
        <scheme val="minor"/>
      </rPr>
      <t xml:space="preserve"> CH</t>
    </r>
    <r>
      <rPr>
        <vertAlign val="subscript"/>
        <sz val="11"/>
        <color theme="1"/>
        <rFont val="Aptos Narrow"/>
        <family val="2"/>
        <scheme val="minor"/>
      </rPr>
      <t>4</t>
    </r>
    <r>
      <rPr>
        <sz val="11"/>
        <color theme="1"/>
        <rFont val="Aptos Narrow"/>
        <family val="2"/>
        <scheme val="minor"/>
      </rPr>
      <t>/t feed</t>
    </r>
  </si>
  <si>
    <r>
      <t>BMP m</t>
    </r>
    <r>
      <rPr>
        <vertAlign val="superscript"/>
        <sz val="11"/>
        <color theme="1"/>
        <rFont val="Aptos Narrow"/>
        <family val="2"/>
        <scheme val="minor"/>
      </rPr>
      <t>3</t>
    </r>
    <r>
      <rPr>
        <sz val="11"/>
        <color theme="1"/>
        <rFont val="Aptos Narrow"/>
        <family val="2"/>
        <scheme val="minor"/>
      </rPr>
      <t xml:space="preserve"> CH</t>
    </r>
    <r>
      <rPr>
        <vertAlign val="subscript"/>
        <sz val="11"/>
        <color theme="1"/>
        <rFont val="Aptos Narrow"/>
        <family val="2"/>
        <scheme val="minor"/>
      </rPr>
      <t>4</t>
    </r>
    <r>
      <rPr>
        <sz val="11"/>
        <color theme="1"/>
        <rFont val="Aptos Narrow"/>
        <family val="2"/>
        <scheme val="minor"/>
      </rPr>
      <t>/a</t>
    </r>
  </si>
  <si>
    <t>BMP = Biochemical Methane Potential (determined by batch assay)</t>
  </si>
  <si>
    <t>1 normal cubic meter of methane = 10 kWh (LHV)</t>
  </si>
  <si>
    <t>Other feed 1 (chosen by user)</t>
  </si>
  <si>
    <t>Other feed 2 (chosen by user)</t>
  </si>
  <si>
    <t>Other feed</t>
  </si>
  <si>
    <t>Water for diluting the feed mixture (if wanted)</t>
  </si>
  <si>
    <t>Total feedstock (feed mixture)</t>
  </si>
  <si>
    <t>Food industry WWTP sludge</t>
  </si>
  <si>
    <t>Forest industry biological WWTP sludge</t>
  </si>
  <si>
    <t>Forest industry primary sludge</t>
  </si>
  <si>
    <t>Municipal sewage sludge</t>
  </si>
  <si>
    <t>Grass silage</t>
  </si>
  <si>
    <t>Fresh reed canary grass</t>
  </si>
  <si>
    <t>Vegetable tops</t>
  </si>
  <si>
    <t>Straw</t>
  </si>
  <si>
    <t>Oilseed stalks</t>
  </si>
  <si>
    <t>Fresh common reed</t>
  </si>
  <si>
    <t>Buffer zone grass or HNV grass</t>
  </si>
  <si>
    <t>Wet or semi‑dry anaerobic digestion</t>
  </si>
  <si>
    <r>
      <rPr>
        <sz val="11"/>
        <color theme="1"/>
        <rFont val="Aptos Narrow"/>
        <family val="2"/>
      </rPr>
      <t xml:space="preserve"> • </t>
    </r>
    <r>
      <rPr>
        <sz val="11"/>
        <color theme="1"/>
        <rFont val="Aptos Narrow"/>
        <family val="2"/>
        <scheme val="minor"/>
      </rPr>
      <t>Best suited for a feedstock mixture with a dry matter content (TS) ≤ 20%.</t>
    </r>
  </si>
  <si>
    <t xml:space="preserve"> • If the feedstock TS content exceeds 20%, it is recommended on the previous tab (“1. Feedstocks”) to add dilution water until the TS content is approximately 20%.</t>
  </si>
  <si>
    <t xml:space="preserve"> • Continuously fed biogas reactor with continuous or semi‑continuous mixing.</t>
  </si>
  <si>
    <t>Total feedstock:</t>
  </si>
  <si>
    <t xml:space="preserve">Total feedstock TS content: </t>
  </si>
  <si>
    <t>Possible dilution with the liquid fraction separated from the digestate:</t>
  </si>
  <si>
    <t>Amount of separated liquid fraction used for dilution:</t>
  </si>
  <si>
    <t>Methane production potential (BMP) of the liquid fraction:</t>
  </si>
  <si>
    <t>Plant type</t>
  </si>
  <si>
    <t>Optional modifications::</t>
  </si>
  <si>
    <t>VS content of the liquid fraction</t>
  </si>
  <si>
    <t>BMP of the liquid fraction</t>
  </si>
  <si>
    <t>TS content of the liquid fraction</t>
  </si>
  <si>
    <t>To what TS content is the feed diluted using the liquid fraction?</t>
  </si>
  <si>
    <t>Feedstock + possible liquid fraction, total:</t>
  </si>
  <si>
    <t>TS content (taking possible dilution into account)</t>
  </si>
  <si>
    <t>VS content (taking possible dilution into account)</t>
  </si>
  <si>
    <t>Default: if feedstock TS &lt; 15%, no dilution with the liquid fraction is required</t>
  </si>
  <si>
    <t>Accounted for in the biogas plant’s gas output.</t>
  </si>
  <si>
    <t>Accounted for in reactor organic loading calculations (impacts gas production).</t>
  </si>
  <si>
    <t>Raw material methane potential</t>
  </si>
  <si>
    <t>BMP realization applied in calculations</t>
  </si>
  <si>
    <t>Feedstock methane potential (BMP)</t>
  </si>
  <si>
    <t>Realized BMP (suggested)</t>
  </si>
  <si>
    <t>Contact and feedback:</t>
  </si>
  <si>
    <t>This is the Excel version of the Biogas Tool (wet and semi‑dry digestion)</t>
  </si>
  <si>
    <t xml:space="preserve"> • If the TS content of the feedstock mixture exceeds 15%, the default assumption in the Biogas Tool is that it is diluted to 15% using the liquid fraction separated from the digestate.</t>
  </si>
  <si>
    <t>Default value: 35 days. Typical range, e.g. 20–100 days. Affects the reactor size and cost, as well as the proportion of the feedstock’s methane potential that is realized.</t>
  </si>
  <si>
    <r>
      <t>Default: 35</t>
    </r>
    <r>
      <rPr>
        <i/>
        <sz val="11"/>
        <rFont val="Aptos Narrow"/>
        <family val="2"/>
      </rPr>
      <t>°</t>
    </r>
    <r>
      <rPr>
        <i/>
        <sz val="11"/>
        <rFont val="Aptos Narrow"/>
        <family val="2"/>
        <scheme val="minor"/>
      </rPr>
      <t>C. Mesophilic: approx. 35–42°C. Thermophilic: e.g. 55°C. Affects how large a share of the feedstock’s methane potential is realized and the biogas plant’s heat energy consumption.</t>
    </r>
  </si>
  <si>
    <t>The selection is taken into account on the tabs ‘5. Nutrients’ and ‘6. Investments’</t>
  </si>
  <si>
    <t>Includes the methane potential of the liquid fraction possibly used for dilution</t>
  </si>
  <si>
    <r>
      <t>1 m</t>
    </r>
    <r>
      <rPr>
        <i/>
        <vertAlign val="superscript"/>
        <sz val="11"/>
        <color theme="1"/>
        <rFont val="Aptos Narrow"/>
        <family val="2"/>
        <scheme val="minor"/>
      </rPr>
      <t>3</t>
    </r>
    <r>
      <rPr>
        <i/>
        <sz val="11"/>
        <color theme="1"/>
        <rFont val="Aptos Narrow"/>
        <family val="2"/>
        <scheme val="minor"/>
      </rPr>
      <t xml:space="preserve"> CH</t>
    </r>
    <r>
      <rPr>
        <i/>
        <vertAlign val="subscript"/>
        <sz val="11"/>
        <color theme="1"/>
        <rFont val="Aptos Narrow"/>
        <family val="2"/>
        <scheme val="minor"/>
      </rPr>
      <t>4</t>
    </r>
    <r>
      <rPr>
        <i/>
        <sz val="11"/>
        <color theme="1"/>
        <rFont val="Aptos Narrow"/>
        <family val="2"/>
        <scheme val="minor"/>
      </rPr>
      <t xml:space="preserve"> = 10 kWh</t>
    </r>
  </si>
  <si>
    <t>If desired, you can replace the default value with your own value (maximum 100, i.e. the full potential is realized).</t>
  </si>
  <si>
    <t>Add an amount if there are feedstocks requiring hygienization and the biogas plant includes a hygienization unit.</t>
  </si>
  <si>
    <t>Affects the investment cost.</t>
  </si>
  <si>
    <t>Size (capacity) of the hygienization unit</t>
  </si>
  <si>
    <t>Amount of feedstock requiring hygienization:</t>
  </si>
  <si>
    <t>Outdoor air temperature (annual average)</t>
  </si>
  <si>
    <t>Ground temperature</t>
  </si>
  <si>
    <t>Affects the biogas plant’s heat consumption calculation.</t>
  </si>
  <si>
    <t>Optional: default values for heat energy consumption calculations</t>
  </si>
  <si>
    <t>Energy</t>
  </si>
  <si>
    <t>Selection of the energy production pathway</t>
  </si>
  <si>
    <t>Total energy production of the biogas plant:</t>
  </si>
  <si>
    <t>The volume of methane contained in the biogas is:</t>
  </si>
  <si>
    <t>Energy content of the produced biogas (methane).</t>
  </si>
  <si>
    <t>Normal cubic metres per year (0°C and 1 atm).</t>
  </si>
  <si>
    <t>By default, part of the biogas is used to produce the heat required by the biogas reactor.</t>
  </si>
  <si>
    <t>If necessary, however, all biogas can be used for purposes other than heat or CHP production; in this case, the cost of purchased heat (and purchased electricity) is calculated on the “Revenues and costs” tab.</t>
  </si>
  <si>
    <t>Energy production mode</t>
  </si>
  <si>
    <t>Separate heat production (boiler)</t>
  </si>
  <si>
    <t>Combined heat and power production (CHP)</t>
  </si>
  <si>
    <t>Transfer and sale as biogas</t>
  </si>
  <si>
    <t>Flaring / losses</t>
  </si>
  <si>
    <t>Total</t>
  </si>
  <si>
    <t>Share</t>
  </si>
  <si>
    <t>Energy production</t>
  </si>
  <si>
    <t>Average power</t>
  </si>
  <si>
    <t>Efficiency</t>
  </si>
  <si>
    <t>Electricity</t>
  </si>
  <si>
    <t>Summary of energy use</t>
  </si>
  <si>
    <t>Form of energy</t>
  </si>
  <si>
    <t>Proposed consump-</t>
  </si>
  <si>
    <t>tion of biogas plant</t>
  </si>
  <si>
    <t>Chosen consump-</t>
  </si>
  <si>
    <t>Consumption</t>
  </si>
  <si>
    <t>of own company</t>
  </si>
  <si>
    <t>Own company: e.g. farm &amp; other business</t>
  </si>
  <si>
    <t>Biopgas plant</t>
  </si>
  <si>
    <t>production</t>
  </si>
  <si>
    <t>Biogas plant</t>
  </si>
  <si>
    <t>consumption</t>
  </si>
  <si>
    <t>Production</t>
  </si>
  <si>
    <t xml:space="preserve"> -  Consumption</t>
  </si>
  <si>
    <t xml:space="preserve">Energy to </t>
  </si>
  <si>
    <t>Own company</t>
  </si>
  <si>
    <t>sold</t>
  </si>
  <si>
    <t>surplus</t>
  </si>
  <si>
    <t>Selling</t>
  </si>
  <si>
    <t>potential</t>
  </si>
  <si>
    <t>Share of selling</t>
  </si>
  <si>
    <t>potential hat can</t>
  </si>
  <si>
    <t>be sold (%)</t>
  </si>
  <si>
    <t>Nutrients</t>
  </si>
  <si>
    <t>The mass of the biogas plant feedstock is:</t>
  </si>
  <si>
    <t>The mass of the produced biogas is:</t>
  </si>
  <si>
    <t>The mass of the digestate is:</t>
  </si>
  <si>
    <t>tonnes per year (without dilution).</t>
  </si>
  <si>
    <t>tonnes per year.</t>
  </si>
  <si>
    <t>Unseparated digestate</t>
  </si>
  <si>
    <t>Nutrient</t>
  </si>
  <si>
    <t>Fresh mass</t>
  </si>
  <si>
    <t>Total solids (TS)</t>
  </si>
  <si>
    <t>Organic matter (VS)</t>
  </si>
  <si>
    <t>Total nitrogen (N)</t>
  </si>
  <si>
    <t>Soluble nitrogen</t>
  </si>
  <si>
    <t>Phosphorus (P)</t>
  </si>
  <si>
    <t>Potassium (K)</t>
  </si>
  <si>
    <t>Concentration</t>
  </si>
  <si>
    <t>Mass</t>
  </si>
  <si>
    <t>An increase in soluble nitrogen improves the fertiliser value of the feedstock. If the digestate is used as fertiliser on the farm, the improved fertiliser value can be included as income for the biogas plant.</t>
  </si>
  <si>
    <t>In this case, the amount of soluble nitrogen increases in the biogas process:</t>
  </si>
  <si>
    <t>Monetary value of the increase in soluble nitrogen:</t>
  </si>
  <si>
    <t>Value of nitrogen solubilised in the biogas process (e.g. price of mineral fertiliser N):</t>
  </si>
  <si>
    <t>kg/a. In the digestate, there is</t>
  </si>
  <si>
    <t>more soluble nitrogen than in the total feedtock.</t>
  </si>
  <si>
    <t>(The nitrogen price can be adjusted on the “7. Revenues and costs” tab.)</t>
  </si>
  <si>
    <t>Chosen separation method:</t>
  </si>
  <si>
    <t>The choice can be done in the "3. Technology" tab</t>
  </si>
  <si>
    <t>In the separation calculation, the liquid fraction from separation that may be used for feedstock dilution has not been taken into account.</t>
  </si>
  <si>
    <t>Separation efficiency</t>
  </si>
  <si>
    <t>Separated solid fraction</t>
  </si>
  <si>
    <t>Separated liquid fraction</t>
  </si>
  <si>
    <t>The separation efficiency indicates what percentage of a mass component ends up in the solid fraction (the remainder goes to the liquid fraction).</t>
  </si>
  <si>
    <t>Quantities and properties of digestate separation fractions, if the digestate is separated</t>
  </si>
  <si>
    <t>Optional adjustments:</t>
  </si>
  <si>
    <t>Decanter centrifuge</t>
  </si>
  <si>
    <t>Screw press separator</t>
  </si>
  <si>
    <t>Estimated investment cost (excluding subsidies)</t>
  </si>
  <si>
    <t>Any subsidies that may be available are taken into account later. (The subsidy rate and discount rate can be specified on the “Profitability” tab.)</t>
  </si>
  <si>
    <t>Discount rate (annuity method):</t>
  </si>
  <si>
    <t>Can be changed on the “8. Profitability” tab.</t>
  </si>
  <si>
    <t xml:space="preserve">Mixer of Slurry feed tank 1 </t>
  </si>
  <si>
    <t>Mixer of Slurry feed tank 2</t>
  </si>
  <si>
    <t>Mixer of Slurry feed tank 3</t>
  </si>
  <si>
    <t>Pump of Slurry tank 1</t>
  </si>
  <si>
    <t>Pump of Slurry tank 2</t>
  </si>
  <si>
    <t>Pump of Slurry tank 3</t>
  </si>
  <si>
    <t>Eelctrictricity-powered crusher-feeder for solid feedstock</t>
  </si>
  <si>
    <t>Reactor structures (incl. base slabs)</t>
  </si>
  <si>
    <t>Reactor mixer(s)</t>
  </si>
  <si>
    <t>Post‑digestion gas tank structures (incl. base slabs)</t>
  </si>
  <si>
    <t>Post‑digestion gas tank mixer</t>
  </si>
  <si>
    <t>Other process technology</t>
  </si>
  <si>
    <t>Other structures (technical rooms, piping, condensate pits)</t>
  </si>
  <si>
    <t>Heat boiler</t>
  </si>
  <si>
    <t>Boiler, piping and automation connections</t>
  </si>
  <si>
    <t>CHP unit + gas blower, activated carbon and condensate removal</t>
  </si>
  <si>
    <t>Installation and commissioning of the above</t>
  </si>
  <si>
    <t>Project design, site management and permits</t>
  </si>
  <si>
    <t>Flare (if excess gas needs to be burned)</t>
  </si>
  <si>
    <t>Other (supplier financing costs, travel expenses, freight, etc.)</t>
  </si>
  <si>
    <t>Decanter centrifuge (if centrifuge separation of digestate is selected)</t>
  </si>
  <si>
    <t>Upgrading unit + compression to 250 bar, incl. installation</t>
  </si>
  <si>
    <t>Refuelling station in connection with the upgrading unit, incl. installation</t>
  </si>
  <si>
    <t>Earthworks</t>
  </si>
  <si>
    <t>Electrical grid connection</t>
  </si>
  <si>
    <t>Particle size reduction related to hygienisation (macerator)</t>
  </si>
  <si>
    <t>Other hygienisation‑related structures (e.g. truck washing facility)</t>
  </si>
  <si>
    <t>Digestate storage (if included in the biogas investment)</t>
  </si>
  <si>
    <t>Digestate storage: separated solid fraction</t>
  </si>
  <si>
    <t>Digestate storage: liquid digestate or separated liquid fraction</t>
  </si>
  <si>
    <t>Other investment</t>
  </si>
  <si>
    <t>Total (VAT 0%)</t>
  </si>
  <si>
    <t>Chosen cost (€)</t>
  </si>
  <si>
    <t>Service life (a)</t>
  </si>
  <si>
    <t>Estimated cost (€)</t>
  </si>
  <si>
    <t>You can change the estimated cost of an investment component (calculated by Biogas Tool) by clicking on the cost and entering a new cost estimate in the cell.</t>
  </si>
  <si>
    <t>Revenues and costs</t>
  </si>
  <si>
    <t>Revenues</t>
  </si>
  <si>
    <t>Category</t>
  </si>
  <si>
    <t>Commodity</t>
  </si>
  <si>
    <t>Amount</t>
  </si>
  <si>
    <t>Price (alv 0 %)</t>
  </si>
  <si>
    <t>Yearly revenue</t>
  </si>
  <si>
    <t>Fertilizer value of the digestate</t>
  </si>
  <si>
    <t>Gate fees</t>
  </si>
  <si>
    <t>Other income</t>
  </si>
  <si>
    <t>Sale of heat energy</t>
  </si>
  <si>
    <t>Sale of electricity</t>
  </si>
  <si>
    <t>Transfer and sale as raw biogas</t>
  </si>
  <si>
    <t>(Unit conversion note: e.g. 11 c/kWh = 110 €/MWh)</t>
  </si>
  <si>
    <t>If the company needs and can use biomethane without compression directly from the biogas upgrading unit.</t>
  </si>
  <si>
    <t>Gate fee for wastes (e.g. for food waste or wastewater sludge from another company)</t>
  </si>
  <si>
    <t>Feedstock for which a gate fee is paid to the biogas plant</t>
  </si>
  <si>
    <t>Sum of revenues</t>
  </si>
  <si>
    <t>Costs</t>
  </si>
  <si>
    <t>Sum of costs</t>
  </si>
  <si>
    <t>Production cost of solid feedstock (e.g. grass silage)</t>
  </si>
  <si>
    <t>Handling of solid feedstock, e.g. loading into a crusher</t>
  </si>
  <si>
    <t>Further processing of liquid feedstock</t>
  </si>
  <si>
    <t>Transport of raw material</t>
  </si>
  <si>
    <t>Handling, transport, and spreading of the digestate</t>
  </si>
  <si>
    <t>Feedstock and digestate</t>
  </si>
  <si>
    <t>Silage, e.g. 20–80 €/fresh tonne. Include only those solid feedstocks that have production costs.</t>
  </si>
  <si>
    <t>If no electrically powered crusher is selected for the biogas plant (Technology tab), then, for example, crushing and feeding to auger using a tractor-powered mixer wagon costs 8.5 €/fresh tonne.</t>
  </si>
  <si>
    <t>Commodities</t>
  </si>
  <si>
    <t>Purchased electricity</t>
  </si>
  <si>
    <t>Cost of dilution water for the feedstock</t>
  </si>
  <si>
    <t>Chemical and process water costs</t>
  </si>
  <si>
    <t>Maintenance and repair costs</t>
  </si>
  <si>
    <t>CHP unit</t>
  </si>
  <si>
    <t>Other plant technology and structures</t>
  </si>
  <si>
    <t>Other machinery work</t>
  </si>
  <si>
    <t>Daily work (inspection + minor repairs)</t>
  </si>
  <si>
    <t>Administrative work</t>
  </si>
  <si>
    <t>Hygienisation unit (and other hygienisation related equipment)</t>
  </si>
  <si>
    <t>Biomethane filling station</t>
  </si>
  <si>
    <t>Insurance and other costs</t>
  </si>
  <si>
    <t>Insurance</t>
  </si>
  <si>
    <t>Other costs</t>
  </si>
  <si>
    <t>% of investment</t>
  </si>
  <si>
    <t>Gross margin (= revenues – costs):</t>
  </si>
  <si>
    <t>Gross margin</t>
  </si>
  <si>
    <r>
      <t>MWh</t>
    </r>
    <r>
      <rPr>
        <vertAlign val="subscript"/>
        <sz val="10"/>
        <color theme="1"/>
        <rFont val="Aptos Narrow"/>
        <family val="2"/>
        <scheme val="minor"/>
      </rPr>
      <t>el</t>
    </r>
    <r>
      <rPr>
        <sz val="10"/>
        <color theme="1"/>
        <rFont val="Aptos Narrow"/>
        <family val="2"/>
        <scheme val="minor"/>
      </rPr>
      <t>/a</t>
    </r>
  </si>
  <si>
    <r>
      <t>€/MWh</t>
    </r>
    <r>
      <rPr>
        <vertAlign val="subscript"/>
        <sz val="10"/>
        <color theme="1"/>
        <rFont val="Aptos Narrow"/>
        <family val="2"/>
        <scheme val="minor"/>
      </rPr>
      <t>el</t>
    </r>
  </si>
  <si>
    <t>Basis for profitability calculations</t>
  </si>
  <si>
    <t>Profitability</t>
  </si>
  <si>
    <t>Investment cost</t>
  </si>
  <si>
    <t>Investment subsidy in euros</t>
  </si>
  <si>
    <t>Investment subsidy percentage of investment</t>
  </si>
  <si>
    <t>Subsidised investment cost</t>
  </si>
  <si>
    <t>Key figures in profitability</t>
  </si>
  <si>
    <t xml:space="preserve">Simple payback period method </t>
  </si>
  <si>
    <t>Payback period (years) = Subsidised investment (€) / Margin (€/year).
Cannot be calculated if the margin is negative.</t>
  </si>
  <si>
    <t>Profit = Margin – Annuity. A positive value indicates that the biogas plant is profitable.</t>
  </si>
  <si>
    <t>Annuity based on supported investment cost</t>
  </si>
  <si>
    <t>Profit</t>
  </si>
  <si>
    <t>Farm-scale biogas plants can receive an investment grant of up to 50% (year 2026 in Finland).</t>
  </si>
  <si>
    <t>Annuity method</t>
  </si>
  <si>
    <t>The corresponding  biogas plant gas power output is:</t>
  </si>
  <si>
    <t>The volume of produced biogas is:</t>
  </si>
  <si>
    <t xml:space="preserve">      → CHP: share of electricity</t>
  </si>
  <si>
    <t>Biomethane production for a reseller</t>
  </si>
  <si>
    <t>Biomethane production, sold from own filling station</t>
  </si>
  <si>
    <r>
      <t>kW</t>
    </r>
    <r>
      <rPr>
        <vertAlign val="subscript"/>
        <sz val="11"/>
        <color theme="1"/>
        <rFont val="Aptos Narrow"/>
        <family val="2"/>
        <scheme val="minor"/>
      </rPr>
      <t>th</t>
    </r>
  </si>
  <si>
    <r>
      <t>kW</t>
    </r>
    <r>
      <rPr>
        <vertAlign val="subscript"/>
        <sz val="11"/>
        <color theme="1"/>
        <rFont val="Aptos Narrow"/>
        <family val="2"/>
        <scheme val="minor"/>
      </rPr>
      <t>el</t>
    </r>
  </si>
  <si>
    <t>Solid feedstock</t>
  </si>
  <si>
    <t>Liquid / slurry feedstock</t>
  </si>
  <si>
    <t>Feedstock mixture (total feedstock)</t>
  </si>
  <si>
    <t>Total amount</t>
  </si>
  <si>
    <t>Amount of dry matter (TS)</t>
  </si>
  <si>
    <t>TS content</t>
  </si>
  <si>
    <t>Amount of dilution water</t>
  </si>
  <si>
    <t>Amount of separated liquid of digestate used for dilution of feedstock</t>
  </si>
  <si>
    <t>Organic loading rate</t>
  </si>
  <si>
    <t>Retention time</t>
  </si>
  <si>
    <t xml:space="preserve">Process volume of the reactor (liquid volume) </t>
  </si>
  <si>
    <r>
      <t>Separated solid fraction (denisty 500 kg/m</t>
    </r>
    <r>
      <rPr>
        <vertAlign val="superscript"/>
        <sz val="11"/>
        <color theme="1"/>
        <rFont val="Aptos Narrow"/>
        <family val="2"/>
        <scheme val="minor"/>
      </rPr>
      <t>3</t>
    </r>
    <r>
      <rPr>
        <sz val="11"/>
        <color theme="1"/>
        <rFont val="Aptos Narrow"/>
        <family val="2"/>
        <scheme val="minor"/>
      </rPr>
      <t>)</t>
    </r>
  </si>
  <si>
    <r>
      <t>Separated liquid fraction (density 1000 kg/m</t>
    </r>
    <r>
      <rPr>
        <vertAlign val="superscript"/>
        <sz val="11"/>
        <color theme="1"/>
        <rFont val="Aptos Narrow"/>
        <family val="2"/>
        <scheme val="minor"/>
      </rPr>
      <t>3</t>
    </r>
    <r>
      <rPr>
        <sz val="11"/>
        <color theme="1"/>
        <rFont val="Aptos Narrow"/>
        <family val="2"/>
        <scheme val="minor"/>
      </rPr>
      <t>)</t>
    </r>
  </si>
  <si>
    <t>Energy content of the produced biogas</t>
  </si>
  <si>
    <t>Volume of biogas produced</t>
  </si>
  <si>
    <t>Electrical power (CHP)</t>
  </si>
  <si>
    <t>Biomethane gas power output</t>
  </si>
  <si>
    <t>Biogas plant gas power output</t>
  </si>
  <si>
    <t>Produced amount (CHP + boiler)</t>
  </si>
  <si>
    <t xml:space="preserve">Biokaasuaitoksen kulutus </t>
  </si>
  <si>
    <t xml:space="preserve">Amount sold </t>
  </si>
  <si>
    <t>Electricity production</t>
  </si>
  <si>
    <t>Consumption by own company (the amount the biogas plant can provide)</t>
  </si>
  <si>
    <t>Produced amount</t>
  </si>
  <si>
    <t>Biogas plant consumption</t>
  </si>
  <si>
    <t>Biogas used/sold as raw biogas</t>
  </si>
  <si>
    <t>Energy content of the raw biogas</t>
  </si>
  <si>
    <t>Biomethae (vehicle fuel)</t>
  </si>
  <si>
    <r>
      <t>Energy content in the upgraded (CO</t>
    </r>
    <r>
      <rPr>
        <vertAlign val="subscript"/>
        <sz val="11"/>
        <color theme="1"/>
        <rFont val="Aptos Narrow"/>
        <family val="2"/>
        <scheme val="minor"/>
      </rPr>
      <t>2</t>
    </r>
    <r>
      <rPr>
        <sz val="11"/>
        <color theme="1"/>
        <rFont val="Aptos Narrow"/>
        <family val="2"/>
        <scheme val="minor"/>
      </rPr>
      <t xml:space="preserve"> removal) gas</t>
    </r>
  </si>
  <si>
    <r>
      <t>Produced amount in kilograms (1 kg = 13,9 kWh, if biomethane is 100 % CH</t>
    </r>
    <r>
      <rPr>
        <vertAlign val="subscript"/>
        <sz val="11"/>
        <rFont val="Aptos Narrow"/>
        <family val="2"/>
        <scheme val="minor"/>
      </rPr>
      <t>4</t>
    </r>
    <r>
      <rPr>
        <sz val="11"/>
        <rFont val="Aptos Narrow"/>
        <family val="2"/>
        <scheme val="minor"/>
      </rPr>
      <t>)</t>
    </r>
  </si>
  <si>
    <t xml:space="preserve">Digestate </t>
  </si>
  <si>
    <r>
      <t xml:space="preserve">Liquid fraction of digestate </t>
    </r>
    <r>
      <rPr>
        <sz val="11"/>
        <color theme="1"/>
        <rFont val="Aptos Narrow"/>
        <family val="2"/>
        <scheme val="minor"/>
      </rPr>
      <t>(if separation by screw press or centrifuge has been chosen)</t>
    </r>
  </si>
  <si>
    <r>
      <t xml:space="preserve">Solid fraction of digestate </t>
    </r>
    <r>
      <rPr>
        <sz val="11"/>
        <color theme="1"/>
        <rFont val="Aptos Narrow"/>
        <family val="2"/>
        <scheme val="minor"/>
      </rPr>
      <t>(if separation by screw press or centrifuge has been chosen)</t>
    </r>
  </si>
  <si>
    <t>Feedstock with a gate fee</t>
  </si>
  <si>
    <t>Increase of soluble nitrogen in the biogas process</t>
  </si>
  <si>
    <t xml:space="preserve"> kg/t (fresh matter) </t>
  </si>
  <si>
    <t>Feedstocks and digestate</t>
  </si>
  <si>
    <t>Maintenance, service, and repair</t>
  </si>
  <si>
    <t>Investment</t>
  </si>
  <si>
    <t>Investment price without subsidy (VAT 0%)</t>
  </si>
  <si>
    <t>Investment price with support (VAT 0%)</t>
  </si>
  <si>
    <t>Payback period (including subsidy)</t>
  </si>
  <si>
    <t>Increase in soluble nitrogen by the biogas process</t>
  </si>
  <si>
    <t>General information</t>
  </si>
  <si>
    <t xml:space="preserve"> kW (electricity) </t>
  </si>
  <si>
    <t xml:space="preserve"> kW (thermal) </t>
  </si>
  <si>
    <t xml:space="preserve"> kW (biogas) </t>
  </si>
  <si>
    <t>kW (biomethane)</t>
  </si>
  <si>
    <t>Summary</t>
  </si>
  <si>
    <t>If necessary, the estimate can be modified by directly replacing the value suggested by the Biogas Tool with your own cost estimate.</t>
  </si>
  <si>
    <t>Below are estimated cost figures for the investment components calculated based on the data entered into the Biogas Tool.</t>
  </si>
  <si>
    <t>Discount rate</t>
  </si>
  <si>
    <t>The filling station increases the pressure to 250 bar, enabling refuelling of the company’s own CBG vehicles and machinery.</t>
  </si>
  <si>
    <t>Biomethane production for a reseller (uncompressed gas)</t>
  </si>
  <si>
    <t>Feedstock dilution with liquid fraction (separation and liquid recirculation)</t>
  </si>
  <si>
    <t>Hygienisation unit (feedstocks requiring hygienisation; see Technology tab)</t>
  </si>
  <si>
    <t xml:space="preserve">      → CHP: share of heat (thermal energy)</t>
  </si>
  <si>
    <t>Heat (thermal energy)</t>
  </si>
  <si>
    <t>Purchased heat (thermal energy)</t>
  </si>
  <si>
    <t>Heat (thermal) power (CHP)</t>
  </si>
  <si>
    <t>Heat (thermal) power (gas boiler)</t>
  </si>
  <si>
    <t>Heat energy production and consumption</t>
  </si>
  <si>
    <t>Biomethane for a reseller (or own company)</t>
  </si>
  <si>
    <t>Biomethane from own station (sales / own company)</t>
  </si>
  <si>
    <t>Biomethane for a reseller</t>
  </si>
  <si>
    <t>Biomethane from own filling station</t>
  </si>
  <si>
    <t>For example, in September 2026 in Finland the price was 80–126 €/MWh (VAT 0%), assuming that the biomethane is 100% methane.</t>
  </si>
  <si>
    <t>Upgrading of biogas to biomethane</t>
  </si>
  <si>
    <r>
      <t xml:space="preserve">Cost savings from using </t>
    </r>
    <r>
      <rPr>
        <u/>
        <sz val="10"/>
        <rFont val="Aptos Narrow"/>
        <family val="2"/>
        <scheme val="minor"/>
      </rPr>
      <t>heat energy</t>
    </r>
    <r>
      <rPr>
        <sz val="10"/>
        <rFont val="Aptos Narrow"/>
        <family val="2"/>
        <scheme val="minor"/>
      </rPr>
      <t xml:space="preserve"> in own company</t>
    </r>
  </si>
  <si>
    <r>
      <t xml:space="preserve">Cost savings from using </t>
    </r>
    <r>
      <rPr>
        <u/>
        <sz val="10"/>
        <rFont val="Aptos Narrow"/>
        <family val="2"/>
        <scheme val="minor"/>
      </rPr>
      <t>electricity</t>
    </r>
    <r>
      <rPr>
        <sz val="10"/>
        <rFont val="Aptos Narrow"/>
        <family val="2"/>
        <scheme val="minor"/>
      </rPr>
      <t xml:space="preserve"> within in own company</t>
    </r>
  </si>
  <si>
    <r>
      <t xml:space="preserve">Cost savings from using </t>
    </r>
    <r>
      <rPr>
        <u/>
        <sz val="10"/>
        <color theme="1"/>
        <rFont val="Aptos Narrow"/>
        <family val="2"/>
        <scheme val="minor"/>
      </rPr>
      <t xml:space="preserve">uncompressed biomethane </t>
    </r>
    <r>
      <rPr>
        <sz val="10"/>
        <color theme="1"/>
        <rFont val="Aptos Narrow"/>
        <family val="2"/>
        <scheme val="minor"/>
      </rPr>
      <t>in own company</t>
    </r>
  </si>
  <si>
    <r>
      <t xml:space="preserve">Cost savings from using </t>
    </r>
    <r>
      <rPr>
        <u/>
        <sz val="10"/>
        <color theme="1"/>
        <rFont val="Aptos Narrow"/>
        <family val="2"/>
        <scheme val="minor"/>
      </rPr>
      <t>compressed biomethane</t>
    </r>
    <r>
      <rPr>
        <sz val="10"/>
        <color theme="1"/>
        <rFont val="Aptos Narrow"/>
        <family val="2"/>
        <scheme val="minor"/>
      </rPr>
      <t xml:space="preserve"> in own company (own filling station)</t>
    </r>
  </si>
  <si>
    <t>Compressed biomethane production and sales to customers from own filling station</t>
  </si>
  <si>
    <t>How many days of feed?</t>
  </si>
  <si>
    <r>
      <t xml:space="preserve">Reaktorin </t>
    </r>
    <r>
      <rPr>
        <b/>
        <sz val="11"/>
        <color theme="0"/>
        <rFont val="Aptos Narrow"/>
        <family val="2"/>
        <scheme val="minor"/>
      </rPr>
      <t>kok.</t>
    </r>
    <r>
      <rPr>
        <sz val="11"/>
        <color theme="0"/>
        <rFont val="Aptos Narrow"/>
        <family val="2"/>
        <scheme val="minor"/>
      </rPr>
      <t>tilavuus, V (m3)</t>
    </r>
  </si>
  <si>
    <r>
      <t xml:space="preserve">Eristeen lämmönjohtavuus  </t>
    </r>
    <r>
      <rPr>
        <i/>
        <sz val="10"/>
        <color theme="0"/>
        <rFont val="Aptos Narrow"/>
        <family val="2"/>
        <scheme val="minor"/>
      </rPr>
      <t>k</t>
    </r>
    <r>
      <rPr>
        <sz val="10"/>
        <color theme="0"/>
        <rFont val="Aptos Narrow"/>
        <family val="2"/>
        <scheme val="minor"/>
      </rPr>
      <t xml:space="preserve"> (W/mK)</t>
    </r>
  </si>
  <si>
    <r>
      <t>Reaktorin U-arvo (W/m</t>
    </r>
    <r>
      <rPr>
        <vertAlign val="superscript"/>
        <sz val="10"/>
        <color theme="0"/>
        <rFont val="Aptos Narrow"/>
        <family val="2"/>
        <scheme val="minor"/>
      </rPr>
      <t>2</t>
    </r>
    <r>
      <rPr>
        <sz val="10"/>
        <color theme="0"/>
        <rFont val="Aptos Narrow"/>
        <family val="2"/>
        <scheme val="minor"/>
      </rPr>
      <t>K)</t>
    </r>
  </si>
  <si>
    <r>
      <t>Lämpöhäviö ilmaan, E</t>
    </r>
    <r>
      <rPr>
        <b/>
        <vertAlign val="subscript"/>
        <sz val="11"/>
        <color theme="0"/>
        <rFont val="Aptos Narrow"/>
        <family val="2"/>
        <scheme val="minor"/>
      </rPr>
      <t>häviö</t>
    </r>
    <r>
      <rPr>
        <b/>
        <sz val="11"/>
        <color theme="0"/>
        <rFont val="Aptos Narrow"/>
        <family val="2"/>
        <scheme val="minor"/>
      </rPr>
      <t xml:space="preserve"> (kWh/v tai kk)</t>
    </r>
  </si>
  <si>
    <r>
      <t>Lämpöhäviö maahan, E</t>
    </r>
    <r>
      <rPr>
        <b/>
        <vertAlign val="subscript"/>
        <sz val="11"/>
        <color theme="0"/>
        <rFont val="Aptos Narrow"/>
        <family val="2"/>
        <scheme val="minor"/>
      </rPr>
      <t>häviö</t>
    </r>
    <r>
      <rPr>
        <b/>
        <sz val="11"/>
        <color theme="0"/>
        <rFont val="Aptos Narrow"/>
        <family val="2"/>
        <scheme val="minor"/>
      </rPr>
      <t xml:space="preserve"> (kWh/v tai kk)</t>
    </r>
  </si>
  <si>
    <t>Form of feed: Drop-down menu</t>
  </si>
  <si>
    <t>Realized methane production</t>
  </si>
  <si>
    <t>Default value; Biogas Tool calculation formula.</t>
  </si>
  <si>
    <t>Version 2 (14th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</si>
</sst>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94" x14ac:knownFonts="1">
    <font>
      <sz val="11"/>
      <color theme="1"/>
      <name val="Aptos Narrow"/>
      <family val="2"/>
      <scheme val="minor"/>
    </font>
    <font>
      <b/>
      <sz val="11"/>
      <color theme="1"/>
      <name val="Aptos Narrow"/>
      <family val="2"/>
      <scheme val="minor"/>
    </font>
    <font>
      <vertAlign val="superscript"/>
      <sz val="11"/>
      <color theme="1"/>
      <name val="Aptos Narrow"/>
      <family val="2"/>
      <scheme val="minor"/>
    </font>
    <font>
      <b/>
      <sz val="14"/>
      <color theme="1"/>
      <name val="Aptos Narrow"/>
      <family val="2"/>
      <scheme val="minor"/>
    </font>
    <font>
      <sz val="8"/>
      <name val="Aptos Narrow"/>
      <family val="2"/>
      <scheme val="minor"/>
    </font>
    <font>
      <b/>
      <vertAlign val="superscript"/>
      <sz val="11"/>
      <color theme="1"/>
      <name val="Aptos Narrow"/>
      <family val="2"/>
      <scheme val="minor"/>
    </font>
    <font>
      <b/>
      <sz val="11"/>
      <color theme="0"/>
      <name val="Aptos Narrow"/>
      <family val="2"/>
      <scheme val="minor"/>
    </font>
    <font>
      <sz val="11"/>
      <color rgb="FFFF0000"/>
      <name val="Aptos Narrow"/>
      <family val="2"/>
      <scheme val="minor"/>
    </font>
    <font>
      <sz val="10"/>
      <color theme="1"/>
      <name val="Aptos Narrow"/>
      <family val="2"/>
      <scheme val="minor"/>
    </font>
    <font>
      <sz val="8"/>
      <color theme="1"/>
      <name val="Aptos Narrow"/>
      <family val="2"/>
      <scheme val="minor"/>
    </font>
    <font>
      <sz val="12"/>
      <color theme="1"/>
      <name val="Aptos Narrow"/>
      <family val="2"/>
      <scheme val="minor"/>
    </font>
    <font>
      <b/>
      <sz val="8"/>
      <color theme="1"/>
      <name val="Aptos Narrow"/>
      <family val="2"/>
      <scheme val="minor"/>
    </font>
    <font>
      <sz val="18"/>
      <color rgb="FFFF0000"/>
      <name val="Aptos Narrow"/>
      <family val="2"/>
      <scheme val="minor"/>
    </font>
    <font>
      <sz val="9"/>
      <color theme="1"/>
      <name val="Aptos Narrow"/>
      <family val="2"/>
      <scheme val="minor"/>
    </font>
    <font>
      <i/>
      <sz val="11"/>
      <color rgb="FFFF0000"/>
      <name val="Aptos Narrow"/>
      <family val="2"/>
      <scheme val="minor"/>
    </font>
    <font>
      <b/>
      <sz val="8"/>
      <name val="Aptos Narrow"/>
      <family val="2"/>
      <scheme val="minor"/>
    </font>
    <font>
      <b/>
      <sz val="11"/>
      <name val="Aptos Narrow"/>
      <family val="2"/>
      <scheme val="minor"/>
    </font>
    <font>
      <b/>
      <sz val="9"/>
      <color indexed="81"/>
      <name val="Tahoma"/>
      <family val="2"/>
    </font>
    <font>
      <sz val="9"/>
      <color indexed="81"/>
      <name val="Tahoma"/>
      <family val="2"/>
    </font>
    <font>
      <sz val="11"/>
      <color theme="1"/>
      <name val="Aptos Narrow"/>
      <family val="2"/>
      <scheme val="minor"/>
    </font>
    <font>
      <b/>
      <sz val="16"/>
      <color theme="1"/>
      <name val="Aptos Narrow"/>
      <family val="2"/>
      <scheme val="minor"/>
    </font>
    <font>
      <b/>
      <sz val="12"/>
      <color theme="1"/>
      <name val="Aptos Narrow"/>
      <family val="2"/>
      <scheme val="minor"/>
    </font>
    <font>
      <b/>
      <sz val="18"/>
      <color theme="1"/>
      <name val="Aptos Narrow"/>
      <family val="2"/>
      <scheme val="minor"/>
    </font>
    <font>
      <sz val="11"/>
      <color theme="1"/>
      <name val="Aptos Narrow"/>
      <family val="2"/>
    </font>
    <font>
      <b/>
      <sz val="11"/>
      <color rgb="FFFF0000"/>
      <name val="Aptos Narrow"/>
      <family val="2"/>
      <scheme val="minor"/>
    </font>
    <font>
      <vertAlign val="subscript"/>
      <sz val="11"/>
      <color theme="1"/>
      <name val="Aptos Narrow"/>
      <family val="2"/>
      <scheme val="minor"/>
    </font>
    <font>
      <i/>
      <sz val="11"/>
      <color theme="1"/>
      <name val="Aptos Narrow"/>
      <family val="2"/>
      <scheme val="minor"/>
    </font>
    <font>
      <u/>
      <sz val="11"/>
      <color theme="10"/>
      <name val="Aptos Narrow"/>
      <family val="2"/>
      <scheme val="minor"/>
    </font>
    <font>
      <sz val="11"/>
      <name val="Aptos Narrow"/>
      <family val="2"/>
      <scheme val="minor"/>
    </font>
    <font>
      <b/>
      <i/>
      <sz val="11"/>
      <color theme="1"/>
      <name val="Aptos Narrow"/>
      <family val="2"/>
      <scheme val="minor"/>
    </font>
    <font>
      <i/>
      <sz val="11"/>
      <name val="Aptos Narrow"/>
      <family val="2"/>
      <scheme val="minor"/>
    </font>
    <font>
      <sz val="18"/>
      <color theme="1"/>
      <name val="Aptos Narrow"/>
      <family val="2"/>
      <scheme val="minor"/>
    </font>
    <font>
      <sz val="18"/>
      <name val="Aptos Narrow"/>
      <family val="2"/>
      <scheme val="minor"/>
    </font>
    <font>
      <i/>
      <vertAlign val="superscript"/>
      <sz val="11"/>
      <color theme="1"/>
      <name val="Aptos Narrow"/>
      <family val="2"/>
      <scheme val="minor"/>
    </font>
    <font>
      <sz val="11"/>
      <color theme="0"/>
      <name val="Aptos Narrow"/>
      <family val="2"/>
      <scheme val="minor"/>
    </font>
    <font>
      <b/>
      <sz val="12"/>
      <color rgb="FFFF0000"/>
      <name val="Aptos Narrow"/>
      <family val="2"/>
      <scheme val="minor"/>
    </font>
    <font>
      <sz val="18"/>
      <color rgb="FF212529"/>
      <name val="Arial"/>
      <family val="2"/>
    </font>
    <font>
      <b/>
      <sz val="10"/>
      <color rgb="FFFFFFFF"/>
      <name val="Arial"/>
      <family val="2"/>
    </font>
    <font>
      <b/>
      <sz val="10"/>
      <color theme="1"/>
      <name val="Aptos Narrow"/>
      <family val="2"/>
      <scheme val="minor"/>
    </font>
    <font>
      <vertAlign val="subscript"/>
      <sz val="10"/>
      <color theme="1"/>
      <name val="Aptos Narrow"/>
      <family val="2"/>
      <scheme val="minor"/>
    </font>
    <font>
      <b/>
      <sz val="10"/>
      <color rgb="FFFF0000"/>
      <name val="Aptos Narrow"/>
      <family val="2"/>
      <scheme val="minor"/>
    </font>
    <font>
      <b/>
      <i/>
      <sz val="11"/>
      <color rgb="FFFF0000"/>
      <name val="Aptos Narrow"/>
      <family val="2"/>
      <scheme val="minor"/>
    </font>
    <font>
      <sz val="14"/>
      <color theme="1"/>
      <name val="Aptos Narrow"/>
      <family val="2"/>
      <scheme val="minor"/>
    </font>
    <font>
      <sz val="20"/>
      <color theme="1"/>
      <name val="Aptos Narrow"/>
      <family val="2"/>
      <scheme val="minor"/>
    </font>
    <font>
      <u/>
      <sz val="14"/>
      <color theme="10"/>
      <name val="Aptos Narrow"/>
      <family val="2"/>
      <scheme val="minor"/>
    </font>
    <font>
      <u/>
      <sz val="20"/>
      <color theme="10"/>
      <name val="Aptos Narrow"/>
      <family val="2"/>
      <scheme val="minor"/>
    </font>
    <font>
      <b/>
      <sz val="10"/>
      <name val="Aptos Narrow"/>
      <family val="2"/>
      <scheme val="minor"/>
    </font>
    <font>
      <i/>
      <sz val="10"/>
      <color theme="1"/>
      <name val="Aptos Narrow"/>
      <family val="2"/>
      <scheme val="minor"/>
    </font>
    <font>
      <i/>
      <sz val="10"/>
      <color rgb="FFFF0000"/>
      <name val="Aptos Narrow"/>
      <family val="2"/>
      <scheme val="minor"/>
    </font>
    <font>
      <b/>
      <sz val="14"/>
      <color rgb="FFFF0000"/>
      <name val="Aptos Narrow"/>
      <family val="2"/>
      <scheme val="minor"/>
    </font>
    <font>
      <b/>
      <u/>
      <sz val="16"/>
      <color theme="1"/>
      <name val="Aptos Narrow"/>
      <family val="2"/>
      <scheme val="minor"/>
    </font>
    <font>
      <i/>
      <sz val="14"/>
      <color theme="1"/>
      <name val="Aptos Narrow"/>
      <family val="2"/>
      <scheme val="minor"/>
    </font>
    <font>
      <b/>
      <sz val="16"/>
      <color rgb="FF212529"/>
      <name val="Aptos Narrow"/>
      <family val="2"/>
      <scheme val="minor"/>
    </font>
    <font>
      <b/>
      <sz val="10"/>
      <color rgb="FFFFFFFF"/>
      <name val="Aptos Narrow"/>
      <family val="2"/>
      <scheme val="minor"/>
    </font>
    <font>
      <b/>
      <sz val="14"/>
      <color rgb="FF212529"/>
      <name val="Aptos Narrow"/>
      <family val="2"/>
      <scheme val="minor"/>
    </font>
    <font>
      <b/>
      <sz val="10"/>
      <color rgb="FF212529"/>
      <name val="Aptos Narrow"/>
      <family val="2"/>
      <scheme val="minor"/>
    </font>
    <font>
      <sz val="10"/>
      <color rgb="FF212529"/>
      <name val="Aptos Narrow"/>
      <family val="2"/>
      <scheme val="minor"/>
    </font>
    <font>
      <vertAlign val="subscript"/>
      <sz val="11"/>
      <color theme="0"/>
      <name val="Aptos Narrow"/>
      <family val="2"/>
      <scheme val="minor"/>
    </font>
    <font>
      <sz val="14"/>
      <color rgb="FFFF0000"/>
      <name val="Aptos Narrow"/>
      <family val="2"/>
      <scheme val="minor"/>
    </font>
    <font>
      <sz val="10"/>
      <name val="Aptos Narrow"/>
      <family val="2"/>
      <scheme val="minor"/>
    </font>
    <font>
      <b/>
      <sz val="10"/>
      <color theme="0"/>
      <name val="Arial"/>
      <family val="2"/>
    </font>
    <font>
      <b/>
      <vertAlign val="subscript"/>
      <sz val="11"/>
      <color theme="0"/>
      <name val="Aptos Narrow"/>
      <family val="2"/>
      <scheme val="minor"/>
    </font>
    <font>
      <b/>
      <vertAlign val="superscript"/>
      <sz val="11"/>
      <color theme="0"/>
      <name val="Aptos Narrow"/>
      <family val="2"/>
      <scheme val="minor"/>
    </font>
    <font>
      <b/>
      <sz val="9"/>
      <color rgb="FFFFFFFF"/>
      <name val="Arial"/>
      <family val="2"/>
    </font>
    <font>
      <sz val="11"/>
      <name val="Aptos Narrow"/>
      <family val="2"/>
    </font>
    <font>
      <sz val="16"/>
      <name val="Aptos Narrow"/>
      <family val="2"/>
      <scheme val="minor"/>
    </font>
    <font>
      <b/>
      <vertAlign val="superscript"/>
      <sz val="10"/>
      <color theme="1"/>
      <name val="Aptos Narrow"/>
      <family val="2"/>
      <scheme val="minor"/>
    </font>
    <font>
      <b/>
      <vertAlign val="subscript"/>
      <sz val="10"/>
      <color theme="1"/>
      <name val="Aptos Narrow"/>
      <family val="2"/>
      <scheme val="minor"/>
    </font>
    <font>
      <b/>
      <sz val="10"/>
      <color theme="0"/>
      <name val="Aptos Narrow"/>
      <family val="2"/>
      <scheme val="minor"/>
    </font>
    <font>
      <i/>
      <sz val="10"/>
      <name val="Aptos Narrow"/>
      <family val="2"/>
      <scheme val="minor"/>
    </font>
    <font>
      <sz val="13.5"/>
      <name val="Aptos Narrow"/>
      <family val="2"/>
      <scheme val="minor"/>
    </font>
    <font>
      <b/>
      <i/>
      <sz val="11"/>
      <color theme="0"/>
      <name val="Aptos Narrow"/>
      <family val="2"/>
      <scheme val="minor"/>
    </font>
    <font>
      <vertAlign val="superscript"/>
      <sz val="11"/>
      <color theme="0"/>
      <name val="Aptos Narrow"/>
      <family val="2"/>
      <scheme val="minor"/>
    </font>
    <font>
      <sz val="11"/>
      <color theme="0"/>
      <name val="Aptos Narrow"/>
      <family val="2"/>
    </font>
    <font>
      <b/>
      <sz val="9"/>
      <color theme="0"/>
      <name val="Aptos Narrow"/>
      <family val="2"/>
      <scheme val="minor"/>
    </font>
    <font>
      <i/>
      <sz val="11"/>
      <color theme="0"/>
      <name val="Aptos Narrow"/>
      <family val="2"/>
      <scheme val="minor"/>
    </font>
    <font>
      <i/>
      <vertAlign val="subscript"/>
      <sz val="11"/>
      <color theme="0"/>
      <name val="Aptos Narrow"/>
      <family val="2"/>
      <scheme val="minor"/>
    </font>
    <font>
      <b/>
      <sz val="20"/>
      <color theme="1"/>
      <name val="Aptos Narrow"/>
      <family val="2"/>
      <scheme val="minor"/>
    </font>
    <font>
      <b/>
      <sz val="10"/>
      <color rgb="FFFFFFFF"/>
      <name val="Aptos Narrow"/>
      <family val="2"/>
    </font>
    <font>
      <i/>
      <sz val="11"/>
      <name val="Aptos Narrow"/>
      <family val="2"/>
    </font>
    <font>
      <i/>
      <vertAlign val="subscript"/>
      <sz val="11"/>
      <color theme="1"/>
      <name val="Aptos Narrow"/>
      <family val="2"/>
      <scheme val="minor"/>
    </font>
    <font>
      <vertAlign val="subscript"/>
      <sz val="11"/>
      <name val="Aptos Narrow"/>
      <family val="2"/>
      <scheme val="minor"/>
    </font>
    <font>
      <b/>
      <sz val="12"/>
      <color rgb="FF212529"/>
      <name val="Aptos Narrow"/>
      <family val="2"/>
      <scheme val="minor"/>
    </font>
    <font>
      <b/>
      <sz val="12"/>
      <name val="Aptos Narrow"/>
      <family val="2"/>
      <scheme val="minor"/>
    </font>
    <font>
      <u/>
      <sz val="10"/>
      <name val="Aptos Narrow"/>
      <family val="2"/>
      <scheme val="minor"/>
    </font>
    <font>
      <u/>
      <sz val="10"/>
      <color theme="1"/>
      <name val="Aptos Narrow"/>
      <family val="2"/>
      <scheme val="minor"/>
    </font>
    <font>
      <sz val="9"/>
      <color theme="0"/>
      <name val="Aptos Narrow"/>
      <family val="2"/>
      <scheme val="minor"/>
    </font>
    <font>
      <sz val="8"/>
      <color theme="0"/>
      <name val="Aptos Narrow"/>
      <family val="2"/>
      <scheme val="minor"/>
    </font>
    <font>
      <b/>
      <sz val="8"/>
      <color theme="0"/>
      <name val="Aptos Narrow"/>
      <family val="2"/>
      <scheme val="minor"/>
    </font>
    <font>
      <b/>
      <sz val="14"/>
      <color theme="0"/>
      <name val="Aptos Narrow"/>
      <family val="2"/>
      <scheme val="minor"/>
    </font>
    <font>
      <b/>
      <sz val="12"/>
      <color theme="0"/>
      <name val="Aptos Narrow"/>
      <family val="2"/>
      <scheme val="minor"/>
    </font>
    <font>
      <sz val="10"/>
      <color theme="0"/>
      <name val="Aptos Narrow"/>
      <family val="2"/>
      <scheme val="minor"/>
    </font>
    <font>
      <i/>
      <sz val="10"/>
      <color theme="0"/>
      <name val="Aptos Narrow"/>
      <family val="2"/>
      <scheme val="minor"/>
    </font>
    <font>
      <vertAlign val="superscript"/>
      <sz val="10"/>
      <color theme="0"/>
      <name val="Aptos Narrow"/>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FFFFCC"/>
      </patternFill>
    </fill>
    <fill>
      <patternFill patternType="solid">
        <fgColor theme="7" tint="0.79998168889431442"/>
        <bgColor indexed="64"/>
      </patternFill>
    </fill>
    <fill>
      <patternFill patternType="solid">
        <fgColor rgb="FFFFFFFF"/>
        <bgColor indexed="64"/>
      </patternFill>
    </fill>
    <fill>
      <patternFill patternType="solid">
        <fgColor rgb="FF4DB50C"/>
        <bgColor indexed="64"/>
      </patternFill>
    </fill>
    <fill>
      <patternFill patternType="solid">
        <fgColor rgb="FFD9D9D9"/>
        <bgColor indexed="64"/>
      </patternFill>
    </fill>
    <fill>
      <patternFill patternType="solid">
        <fgColor rgb="FFFFFFCC"/>
        <bgColor indexed="64"/>
      </patternFill>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ck">
        <color rgb="FF00B050"/>
      </left>
      <right/>
      <top/>
      <bottom style="thick">
        <color rgb="FF00B050"/>
      </bottom>
      <diagonal/>
    </border>
    <border>
      <left/>
      <right/>
      <top/>
      <bottom style="thick">
        <color rgb="FF00B050"/>
      </bottom>
      <diagonal/>
    </border>
  </borders>
  <cellStyleXfs count="4">
    <xf numFmtId="0" fontId="0" fillId="0" borderId="0"/>
    <xf numFmtId="9" fontId="19" fillId="0" borderId="0" applyFont="0" applyFill="0" applyBorder="0" applyAlignment="0" applyProtection="0"/>
    <xf numFmtId="0" fontId="19" fillId="5" borderId="7" applyNumberFormat="0" applyFont="0" applyAlignment="0" applyProtection="0"/>
    <xf numFmtId="0" fontId="27" fillId="0" borderId="0" applyNumberFormat="0" applyFill="0" applyBorder="0" applyAlignment="0" applyProtection="0"/>
  </cellStyleXfs>
  <cellXfs count="391">
    <xf numFmtId="0" fontId="0" fillId="0" borderId="0" xfId="0"/>
    <xf numFmtId="0" fontId="0" fillId="4" borderId="0" xfId="0" applyFill="1"/>
    <xf numFmtId="0" fontId="43" fillId="4" borderId="0" xfId="0" applyFont="1" applyFill="1"/>
    <xf numFmtId="0" fontId="44" fillId="4" borderId="0" xfId="3" applyFont="1" applyFill="1"/>
    <xf numFmtId="0" fontId="45" fillId="4" borderId="0" xfId="3" applyFont="1" applyFill="1"/>
    <xf numFmtId="0" fontId="42" fillId="4" borderId="0" xfId="0" applyFont="1" applyFill="1"/>
    <xf numFmtId="0" fontId="3" fillId="4" borderId="0" xfId="0" applyFont="1" applyFill="1"/>
    <xf numFmtId="0" fontId="32" fillId="4" borderId="0" xfId="0" applyFont="1" applyFill="1"/>
    <xf numFmtId="0" fontId="12" fillId="4" borderId="0" xfId="0" applyFont="1" applyFill="1"/>
    <xf numFmtId="0" fontId="22" fillId="6" borderId="1" xfId="0" applyFont="1" applyFill="1" applyBorder="1" applyAlignment="1">
      <alignment horizontal="center" vertical="top"/>
    </xf>
    <xf numFmtId="0" fontId="43" fillId="3" borderId="1" xfId="0" applyFont="1" applyFill="1" applyBorder="1" applyAlignment="1">
      <alignment horizontal="center"/>
    </xf>
    <xf numFmtId="0" fontId="43" fillId="10" borderId="1" xfId="0" applyFont="1" applyFill="1" applyBorder="1" applyAlignment="1">
      <alignment horizontal="center"/>
    </xf>
    <xf numFmtId="0" fontId="36" fillId="4" borderId="17" xfId="0" applyFont="1" applyFill="1" applyBorder="1" applyAlignment="1" applyProtection="1">
      <alignment horizontal="left" vertical="center"/>
      <protection hidden="1"/>
    </xf>
    <xf numFmtId="0" fontId="22" fillId="4" borderId="18" xfId="0" applyFont="1" applyFill="1" applyBorder="1" applyAlignment="1" applyProtection="1">
      <protection hidden="1"/>
    </xf>
    <xf numFmtId="0" fontId="0" fillId="4" borderId="0" xfId="0" applyFill="1" applyAlignment="1" applyProtection="1">
      <alignment horizontal="left"/>
      <protection hidden="1"/>
    </xf>
    <xf numFmtId="0" fontId="34" fillId="4" borderId="0" xfId="0" applyFont="1" applyFill="1" applyAlignment="1" applyProtection="1">
      <alignment horizontal="left"/>
      <protection hidden="1"/>
    </xf>
    <xf numFmtId="0" fontId="0" fillId="0" borderId="0" xfId="0" applyAlignment="1" applyProtection="1">
      <alignment horizontal="left"/>
      <protection hidden="1"/>
    </xf>
    <xf numFmtId="0" fontId="37" fillId="8" borderId="0" xfId="0" applyFont="1" applyFill="1" applyAlignment="1" applyProtection="1">
      <alignment horizontal="left" vertical="center"/>
      <protection hidden="1"/>
    </xf>
    <xf numFmtId="0" fontId="63" fillId="8" borderId="0" xfId="0" applyFont="1" applyFill="1" applyAlignment="1" applyProtection="1">
      <alignment horizontal="left" vertical="center"/>
      <protection hidden="1"/>
    </xf>
    <xf numFmtId="0" fontId="60" fillId="8" borderId="0" xfId="0" applyFont="1" applyFill="1" applyAlignment="1" applyProtection="1">
      <alignment horizontal="left" vertical="center"/>
      <protection hidden="1"/>
    </xf>
    <xf numFmtId="0" fontId="6" fillId="4" borderId="0" xfId="0" applyFont="1" applyFill="1" applyAlignment="1" applyProtection="1">
      <alignment horizontal="left"/>
      <protection hidden="1"/>
    </xf>
    <xf numFmtId="0" fontId="6" fillId="4" borderId="2" xfId="0" applyFont="1" applyFill="1" applyBorder="1" applyAlignment="1" applyProtection="1">
      <alignment horizontal="left"/>
      <protection hidden="1"/>
    </xf>
    <xf numFmtId="0" fontId="1" fillId="2" borderId="0" xfId="0" applyFont="1" applyFill="1" applyAlignment="1" applyProtection="1">
      <alignment horizontal="left"/>
      <protection hidden="1"/>
    </xf>
    <xf numFmtId="0" fontId="37" fillId="2" borderId="0" xfId="0" applyFont="1" applyFill="1" applyAlignment="1" applyProtection="1">
      <alignment horizontal="left" vertical="center"/>
      <protection hidden="1"/>
    </xf>
    <xf numFmtId="0" fontId="63" fillId="2" borderId="0" xfId="0" applyFont="1" applyFill="1" applyAlignment="1" applyProtection="1">
      <alignment horizontal="left" vertical="center"/>
      <protection hidden="1"/>
    </xf>
    <xf numFmtId="0" fontId="60" fillId="2" borderId="0" xfId="0" applyFont="1" applyFill="1" applyAlignment="1" applyProtection="1">
      <alignment horizontal="left" vertical="center"/>
      <protection hidden="1"/>
    </xf>
    <xf numFmtId="0" fontId="6" fillId="4" borderId="0" xfId="0" applyFont="1" applyFill="1" applyBorder="1" applyAlignment="1" applyProtection="1">
      <alignment horizontal="left"/>
      <protection hidden="1"/>
    </xf>
    <xf numFmtId="3" fontId="0" fillId="3" borderId="1" xfId="0" applyNumberFormat="1" applyFill="1" applyBorder="1" applyAlignment="1" applyProtection="1">
      <alignment horizontal="left"/>
      <protection hidden="1"/>
    </xf>
    <xf numFmtId="164" fontId="0" fillId="10" borderId="0" xfId="0" applyNumberFormat="1" applyFill="1" applyAlignment="1" applyProtection="1">
      <alignment horizontal="left"/>
      <protection hidden="1"/>
    </xf>
    <xf numFmtId="0" fontId="0" fillId="10" borderId="0" xfId="0" applyFill="1" applyAlignment="1" applyProtection="1">
      <alignment horizontal="left"/>
      <protection hidden="1"/>
    </xf>
    <xf numFmtId="0" fontId="0" fillId="6" borderId="1" xfId="0" applyFill="1" applyBorder="1" applyAlignment="1" applyProtection="1">
      <alignment horizontal="left"/>
      <protection hidden="1"/>
    </xf>
    <xf numFmtId="0" fontId="26" fillId="4" borderId="0" xfId="0" applyFont="1" applyFill="1" applyAlignment="1" applyProtection="1">
      <alignment horizontal="left"/>
      <protection hidden="1"/>
    </xf>
    <xf numFmtId="3" fontId="34" fillId="4" borderId="0" xfId="0" applyNumberFormat="1" applyFont="1" applyFill="1" applyBorder="1" applyAlignment="1" applyProtection="1">
      <alignment horizontal="left"/>
      <protection hidden="1"/>
    </xf>
    <xf numFmtId="0" fontId="34" fillId="0" borderId="0" xfId="0" applyFont="1" applyAlignment="1" applyProtection="1">
      <alignment horizontal="left"/>
      <protection hidden="1"/>
    </xf>
    <xf numFmtId="1" fontId="0" fillId="10" borderId="0" xfId="0" applyNumberFormat="1" applyFill="1" applyAlignment="1" applyProtection="1">
      <alignment horizontal="left"/>
      <protection hidden="1"/>
    </xf>
    <xf numFmtId="164" fontId="37" fillId="8" borderId="0" xfId="0" applyNumberFormat="1" applyFont="1" applyFill="1" applyAlignment="1" applyProtection="1">
      <alignment horizontal="left" vertical="center"/>
      <protection hidden="1"/>
    </xf>
    <xf numFmtId="1" fontId="37" fillId="8" borderId="0" xfId="0" applyNumberFormat="1" applyFont="1" applyFill="1" applyAlignment="1" applyProtection="1">
      <alignment horizontal="left" vertical="center"/>
      <protection hidden="1"/>
    </xf>
    <xf numFmtId="3" fontId="6" fillId="4" borderId="0" xfId="0" applyNumberFormat="1" applyFont="1" applyFill="1" applyAlignment="1" applyProtection="1">
      <alignment horizontal="left"/>
      <protection hidden="1"/>
    </xf>
    <xf numFmtId="0" fontId="38" fillId="2" borderId="0" xfId="0" applyFont="1" applyFill="1" applyAlignment="1" applyProtection="1">
      <alignment horizontal="left"/>
      <protection hidden="1"/>
    </xf>
    <xf numFmtId="3" fontId="38" fillId="2" borderId="0" xfId="0" applyNumberFormat="1" applyFont="1" applyFill="1" applyAlignment="1" applyProtection="1">
      <alignment horizontal="left"/>
      <protection hidden="1"/>
    </xf>
    <xf numFmtId="165" fontId="38" fillId="2" borderId="0" xfId="0" applyNumberFormat="1" applyFont="1" applyFill="1" applyAlignment="1" applyProtection="1">
      <alignment horizontal="left"/>
      <protection hidden="1"/>
    </xf>
    <xf numFmtId="0" fontId="38" fillId="4" borderId="0" xfId="0" applyFont="1" applyFill="1" applyAlignment="1" applyProtection="1">
      <alignment horizontal="left"/>
      <protection hidden="1"/>
    </xf>
    <xf numFmtId="3" fontId="68" fillId="4" borderId="0" xfId="0" applyNumberFormat="1" applyFont="1" applyFill="1" applyAlignment="1" applyProtection="1">
      <alignment horizontal="left"/>
      <protection hidden="1"/>
    </xf>
    <xf numFmtId="0" fontId="38" fillId="0" borderId="0" xfId="0" applyFont="1" applyAlignment="1" applyProtection="1">
      <alignment horizontal="left"/>
      <protection hidden="1"/>
    </xf>
    <xf numFmtId="3" fontId="0" fillId="4" borderId="0" xfId="0" applyNumberFormat="1" applyFill="1" applyAlignment="1" applyProtection="1">
      <alignment horizontal="left"/>
      <protection hidden="1"/>
    </xf>
    <xf numFmtId="0" fontId="1" fillId="4" borderId="0" xfId="0" applyFont="1" applyFill="1" applyAlignment="1" applyProtection="1">
      <alignment horizontal="left"/>
      <protection hidden="1"/>
    </xf>
    <xf numFmtId="3" fontId="1" fillId="4" borderId="0" xfId="0" applyNumberFormat="1" applyFont="1" applyFill="1" applyAlignment="1" applyProtection="1">
      <alignment horizontal="left"/>
      <protection hidden="1"/>
    </xf>
    <xf numFmtId="2" fontId="0" fillId="4" borderId="0" xfId="0" applyNumberFormat="1" applyFill="1" applyAlignment="1" applyProtection="1">
      <alignment horizontal="left"/>
      <protection hidden="1"/>
    </xf>
    <xf numFmtId="1" fontId="0" fillId="4" borderId="0" xfId="0" applyNumberFormat="1" applyFill="1" applyAlignment="1" applyProtection="1">
      <alignment horizontal="left"/>
      <protection hidden="1"/>
    </xf>
    <xf numFmtId="164" fontId="0" fillId="4" borderId="0" xfId="0" applyNumberFormat="1" applyFill="1" applyAlignment="1" applyProtection="1">
      <alignment horizontal="left"/>
      <protection hidden="1"/>
    </xf>
    <xf numFmtId="0" fontId="0" fillId="4" borderId="9" xfId="0" applyFill="1" applyBorder="1" applyAlignment="1" applyProtection="1">
      <alignment horizontal="left"/>
      <protection hidden="1"/>
    </xf>
    <xf numFmtId="0" fontId="34" fillId="4" borderId="0" xfId="0" applyFont="1" applyFill="1" applyBorder="1" applyAlignment="1" applyProtection="1">
      <alignment horizontal="left"/>
      <protection hidden="1"/>
    </xf>
    <xf numFmtId="0" fontId="34" fillId="4" borderId="0" xfId="0" applyFont="1" applyFill="1" applyBorder="1" applyProtection="1">
      <protection hidden="1"/>
    </xf>
    <xf numFmtId="0" fontId="0" fillId="4" borderId="0" xfId="0" applyFill="1" applyProtection="1">
      <protection hidden="1"/>
    </xf>
    <xf numFmtId="0" fontId="20" fillId="4" borderId="0" xfId="0" applyFont="1" applyFill="1" applyAlignment="1" applyProtection="1">
      <alignment horizontal="left" vertical="top"/>
      <protection hidden="1"/>
    </xf>
    <xf numFmtId="0" fontId="0" fillId="4" borderId="0" xfId="0" applyFill="1" applyAlignment="1" applyProtection="1">
      <alignment horizontal="right"/>
      <protection hidden="1"/>
    </xf>
    <xf numFmtId="3" fontId="0" fillId="4" borderId="0" xfId="0" applyNumberFormat="1" applyFill="1" applyProtection="1">
      <protection hidden="1"/>
    </xf>
    <xf numFmtId="0" fontId="0" fillId="4" borderId="0" xfId="0" applyFont="1" applyFill="1" applyProtection="1">
      <protection hidden="1"/>
    </xf>
    <xf numFmtId="0" fontId="28" fillId="4" borderId="0" xfId="0" applyFont="1" applyFill="1" applyProtection="1">
      <protection hidden="1"/>
    </xf>
    <xf numFmtId="2" fontId="1" fillId="4" borderId="0" xfId="0" applyNumberFormat="1" applyFont="1" applyFill="1" applyAlignment="1" applyProtection="1">
      <alignment horizontal="right"/>
      <protection hidden="1"/>
    </xf>
    <xf numFmtId="0" fontId="1" fillId="4" borderId="0" xfId="0" applyFont="1" applyFill="1" applyProtection="1">
      <protection hidden="1"/>
    </xf>
    <xf numFmtId="0" fontId="26" fillId="4" borderId="0" xfId="0" applyFont="1" applyFill="1" applyProtection="1">
      <protection hidden="1"/>
    </xf>
    <xf numFmtId="3" fontId="1" fillId="4" borderId="0" xfId="0" applyNumberFormat="1" applyFont="1" applyFill="1" applyAlignment="1" applyProtection="1">
      <alignment horizontal="right"/>
      <protection hidden="1"/>
    </xf>
    <xf numFmtId="166" fontId="0" fillId="4" borderId="0" xfId="0" applyNumberFormat="1" applyFill="1" applyProtection="1">
      <protection hidden="1"/>
    </xf>
    <xf numFmtId="2" fontId="0" fillId="4" borderId="0" xfId="0" applyNumberFormat="1" applyFill="1" applyProtection="1">
      <protection hidden="1"/>
    </xf>
    <xf numFmtId="0" fontId="1" fillId="2" borderId="0" xfId="0" applyFont="1" applyFill="1" applyProtection="1">
      <protection hidden="1"/>
    </xf>
    <xf numFmtId="2" fontId="1" fillId="2" borderId="0" xfId="0" applyNumberFormat="1" applyFont="1" applyFill="1" applyAlignment="1" applyProtection="1">
      <alignment horizontal="right"/>
      <protection hidden="1"/>
    </xf>
    <xf numFmtId="0" fontId="29" fillId="4" borderId="0" xfId="0" applyFont="1" applyFill="1" applyProtection="1">
      <protection hidden="1"/>
    </xf>
    <xf numFmtId="2" fontId="1" fillId="4" borderId="0" xfId="0" applyNumberFormat="1" applyFont="1" applyFill="1" applyProtection="1">
      <protection hidden="1"/>
    </xf>
    <xf numFmtId="3" fontId="0" fillId="4" borderId="0" xfId="0" applyNumberFormat="1" applyFont="1" applyFill="1" applyAlignment="1" applyProtection="1">
      <alignment horizontal="right"/>
      <protection hidden="1"/>
    </xf>
    <xf numFmtId="164" fontId="28" fillId="4" borderId="0" xfId="0" applyNumberFormat="1" applyFont="1" applyFill="1" applyAlignment="1" applyProtection="1">
      <alignment horizontal="right"/>
      <protection hidden="1"/>
    </xf>
    <xf numFmtId="0" fontId="16" fillId="4" borderId="0" xfId="0" applyFont="1" applyFill="1" applyProtection="1">
      <protection hidden="1"/>
    </xf>
    <xf numFmtId="2" fontId="16" fillId="4" borderId="0" xfId="0" applyNumberFormat="1" applyFont="1" applyFill="1" applyAlignment="1" applyProtection="1">
      <alignment horizontal="right"/>
      <protection hidden="1"/>
    </xf>
    <xf numFmtId="0" fontId="37" fillId="4" borderId="0" xfId="0" applyFont="1" applyFill="1" applyAlignment="1" applyProtection="1">
      <alignment horizontal="left" vertical="center"/>
      <protection hidden="1"/>
    </xf>
    <xf numFmtId="164" fontId="0" fillId="10" borderId="1" xfId="0" applyNumberFormat="1" applyFill="1" applyBorder="1" applyAlignment="1" applyProtection="1">
      <alignment horizontal="right"/>
      <protection hidden="1"/>
    </xf>
    <xf numFmtId="1" fontId="0" fillId="10" borderId="1" xfId="0" applyNumberFormat="1" applyFill="1" applyBorder="1" applyAlignment="1" applyProtection="1">
      <alignment horizontal="right"/>
      <protection hidden="1"/>
    </xf>
    <xf numFmtId="1" fontId="16" fillId="4" borderId="0" xfId="0" applyNumberFormat="1" applyFont="1" applyFill="1" applyAlignment="1" applyProtection="1">
      <alignment horizontal="left"/>
      <protection hidden="1"/>
    </xf>
    <xf numFmtId="1" fontId="0" fillId="4" borderId="0" xfId="0" applyNumberFormat="1" applyFill="1" applyAlignment="1" applyProtection="1">
      <alignment horizontal="right"/>
      <protection hidden="1"/>
    </xf>
    <xf numFmtId="0" fontId="0" fillId="0" borderId="0" xfId="0" applyProtection="1">
      <protection hidden="1"/>
    </xf>
    <xf numFmtId="0" fontId="0" fillId="0" borderId="0" xfId="0" applyAlignment="1" applyProtection="1">
      <alignment horizontal="right"/>
      <protection hidden="1"/>
    </xf>
    <xf numFmtId="0" fontId="0" fillId="0" borderId="0" xfId="0" applyFill="1" applyProtection="1">
      <protection hidden="1"/>
    </xf>
    <xf numFmtId="0" fontId="0" fillId="4" borderId="0" xfId="0" applyFill="1" applyAlignment="1" applyProtection="1">
      <alignment horizontal="left" vertical="top"/>
      <protection hidden="1"/>
    </xf>
    <xf numFmtId="0" fontId="21" fillId="4" borderId="0" xfId="0" applyFont="1" applyFill="1" applyAlignment="1" applyProtection="1">
      <alignment horizontal="left" vertical="top"/>
      <protection hidden="1"/>
    </xf>
    <xf numFmtId="0" fontId="21" fillId="4" borderId="0" xfId="0" applyFont="1" applyFill="1" applyAlignment="1" applyProtection="1">
      <alignment horizontal="right" vertical="top"/>
      <protection hidden="1"/>
    </xf>
    <xf numFmtId="0" fontId="26" fillId="4" borderId="0" xfId="0" applyFont="1" applyFill="1" applyAlignment="1" applyProtection="1">
      <alignment horizontal="left" vertical="top"/>
      <protection hidden="1"/>
    </xf>
    <xf numFmtId="0" fontId="1" fillId="4" borderId="0" xfId="0" applyFont="1" applyFill="1" applyBorder="1" applyAlignment="1" applyProtection="1">
      <alignment horizontal="left" vertical="top" wrapText="1"/>
      <protection hidden="1"/>
    </xf>
    <xf numFmtId="0" fontId="1" fillId="4" borderId="0" xfId="0" applyFont="1" applyFill="1" applyBorder="1" applyAlignment="1" applyProtection="1">
      <alignment horizontal="center" vertical="top" wrapText="1"/>
      <protection hidden="1"/>
    </xf>
    <xf numFmtId="0" fontId="0" fillId="10" borderId="1" xfId="0" applyFill="1" applyBorder="1" applyAlignment="1" applyProtection="1">
      <alignment horizontal="center" vertical="top"/>
      <protection hidden="1"/>
    </xf>
    <xf numFmtId="1" fontId="0" fillId="4" borderId="0" xfId="0" applyNumberFormat="1" applyFill="1" applyAlignment="1" applyProtection="1">
      <alignment horizontal="center" vertical="top"/>
      <protection hidden="1"/>
    </xf>
    <xf numFmtId="0" fontId="1" fillId="6" borderId="1" xfId="0" applyFont="1" applyFill="1" applyBorder="1" applyAlignment="1" applyProtection="1">
      <alignment horizontal="center" vertical="top"/>
      <protection hidden="1"/>
    </xf>
    <xf numFmtId="0" fontId="1" fillId="4" borderId="0" xfId="0" applyFont="1" applyFill="1" applyAlignment="1" applyProtection="1">
      <alignment horizontal="left" vertical="top"/>
      <protection hidden="1"/>
    </xf>
    <xf numFmtId="0" fontId="0" fillId="4" borderId="0" xfId="0" applyFill="1" applyBorder="1" applyAlignment="1" applyProtection="1">
      <alignment horizontal="left" vertical="top"/>
      <protection hidden="1"/>
    </xf>
    <xf numFmtId="0" fontId="35" fillId="4" borderId="0" xfId="0" applyFont="1" applyFill="1" applyAlignment="1" applyProtection="1">
      <alignment horizontal="left" vertical="top"/>
      <protection hidden="1"/>
    </xf>
    <xf numFmtId="0" fontId="20" fillId="4" borderId="2" xfId="0" applyFont="1" applyFill="1" applyBorder="1" applyAlignment="1" applyProtection="1">
      <alignment horizontal="left" vertical="top"/>
      <protection hidden="1"/>
    </xf>
    <xf numFmtId="0" fontId="0" fillId="4" borderId="2" xfId="0" applyFill="1" applyBorder="1" applyAlignment="1" applyProtection="1">
      <alignment horizontal="left" vertical="top"/>
      <protection hidden="1"/>
    </xf>
    <xf numFmtId="0" fontId="0" fillId="10" borderId="1" xfId="0" applyFill="1" applyBorder="1" applyAlignment="1" applyProtection="1">
      <alignment horizontal="right" vertical="top"/>
      <protection hidden="1"/>
    </xf>
    <xf numFmtId="1" fontId="0" fillId="4" borderId="0" xfId="0" applyNumberFormat="1" applyFill="1" applyAlignment="1" applyProtection="1">
      <alignment horizontal="right" vertical="top"/>
      <protection hidden="1"/>
    </xf>
    <xf numFmtId="2" fontId="0" fillId="4" borderId="0" xfId="0" applyNumberFormat="1" applyFill="1" applyAlignment="1" applyProtection="1">
      <alignment horizontal="right" vertical="top"/>
      <protection hidden="1"/>
    </xf>
    <xf numFmtId="164" fontId="0" fillId="4" borderId="0" xfId="0" applyNumberFormat="1" applyFill="1" applyAlignment="1" applyProtection="1">
      <alignment horizontal="right" vertical="top"/>
      <protection hidden="1"/>
    </xf>
    <xf numFmtId="0" fontId="1" fillId="6" borderId="1" xfId="0" applyFont="1" applyFill="1" applyBorder="1" applyAlignment="1" applyProtection="1">
      <alignment horizontal="left" vertical="top"/>
      <protection hidden="1"/>
    </xf>
    <xf numFmtId="0" fontId="24" fillId="4" borderId="0" xfId="0" applyFont="1" applyFill="1" applyAlignment="1" applyProtection="1">
      <alignment horizontal="left" vertical="top"/>
      <protection hidden="1"/>
    </xf>
    <xf numFmtId="3" fontId="0" fillId="4" borderId="0" xfId="0" applyNumberFormat="1" applyFill="1" applyAlignment="1" applyProtection="1">
      <alignment horizontal="right" vertical="top"/>
      <protection hidden="1"/>
    </xf>
    <xf numFmtId="3" fontId="0" fillId="10" borderId="1" xfId="0" applyNumberFormat="1" applyFill="1" applyBorder="1" applyAlignment="1" applyProtection="1">
      <alignment horizontal="right" vertical="top"/>
      <protection hidden="1"/>
    </xf>
    <xf numFmtId="3" fontId="0" fillId="4" borderId="0" xfId="0" applyNumberFormat="1" applyFill="1" applyBorder="1" applyAlignment="1" applyProtection="1">
      <alignment horizontal="right" vertical="top"/>
      <protection hidden="1"/>
    </xf>
    <xf numFmtId="0" fontId="41" fillId="4" borderId="0" xfId="0" applyFont="1" applyFill="1" applyAlignment="1" applyProtection="1">
      <alignment horizontal="left" vertical="top"/>
      <protection hidden="1"/>
    </xf>
    <xf numFmtId="0" fontId="3" fillId="4" borderId="0" xfId="0" applyFont="1" applyFill="1" applyAlignment="1" applyProtection="1">
      <alignment horizontal="left" vertical="top"/>
      <protection hidden="1"/>
    </xf>
    <xf numFmtId="3" fontId="3" fillId="4" borderId="0" xfId="0" applyNumberFormat="1" applyFont="1" applyFill="1" applyBorder="1" applyAlignment="1" applyProtection="1">
      <alignment horizontal="right" vertical="top"/>
      <protection hidden="1"/>
    </xf>
    <xf numFmtId="0" fontId="0" fillId="4" borderId="0" xfId="0" applyFill="1" applyAlignment="1" applyProtection="1">
      <alignment horizontal="right" vertical="top"/>
      <protection hidden="1"/>
    </xf>
    <xf numFmtId="164" fontId="0" fillId="10" borderId="1" xfId="0" applyNumberFormat="1" applyFill="1" applyBorder="1" applyAlignment="1" applyProtection="1">
      <alignment horizontal="right" vertical="top"/>
      <protection hidden="1"/>
    </xf>
    <xf numFmtId="0" fontId="23" fillId="4" borderId="0" xfId="0" applyFont="1" applyFill="1" applyAlignment="1" applyProtection="1">
      <alignment horizontal="left" vertical="top"/>
      <protection hidden="1"/>
    </xf>
    <xf numFmtId="0" fontId="28" fillId="4" borderId="0" xfId="0" applyFont="1" applyFill="1" applyAlignment="1" applyProtection="1">
      <alignment horizontal="left" vertical="top"/>
      <protection hidden="1"/>
    </xf>
    <xf numFmtId="0" fontId="28" fillId="4" borderId="0" xfId="0" applyFont="1" applyFill="1" applyBorder="1" applyAlignment="1" applyProtection="1">
      <alignment horizontal="left" vertical="top"/>
      <protection hidden="1"/>
    </xf>
    <xf numFmtId="1" fontId="34" fillId="4" borderId="0" xfId="0" applyNumberFormat="1" applyFont="1" applyFill="1" applyBorder="1" applyAlignment="1" applyProtection="1">
      <alignment horizontal="left"/>
      <protection hidden="1"/>
    </xf>
    <xf numFmtId="0" fontId="34" fillId="4" borderId="0" xfId="0" applyFont="1" applyFill="1" applyBorder="1" applyAlignment="1" applyProtection="1">
      <alignment horizontal="left" vertical="top"/>
      <protection hidden="1"/>
    </xf>
    <xf numFmtId="0" fontId="71" fillId="4" borderId="0" xfId="0" applyFont="1" applyFill="1" applyBorder="1" applyAlignment="1" applyProtection="1">
      <alignment horizontal="left"/>
      <protection hidden="1"/>
    </xf>
    <xf numFmtId="0" fontId="0" fillId="0" borderId="0" xfId="0" applyBorder="1" applyAlignment="1" applyProtection="1">
      <alignment horizontal="left" vertical="top"/>
      <protection hidden="1"/>
    </xf>
    <xf numFmtId="0" fontId="0" fillId="0" borderId="0" xfId="0" applyAlignment="1" applyProtection="1">
      <alignment horizontal="left" vertical="top"/>
      <protection hidden="1"/>
    </xf>
    <xf numFmtId="164" fontId="34" fillId="4" borderId="0" xfId="0" applyNumberFormat="1" applyFont="1" applyFill="1" applyBorder="1" applyAlignment="1" applyProtection="1">
      <alignment horizontal="left"/>
      <protection hidden="1"/>
    </xf>
    <xf numFmtId="0" fontId="71" fillId="4" borderId="0" xfId="0" applyFont="1" applyFill="1" applyBorder="1" applyAlignment="1" applyProtection="1">
      <alignment horizontal="left" vertical="center"/>
      <protection hidden="1"/>
    </xf>
    <xf numFmtId="2" fontId="6" fillId="4" borderId="0" xfId="0" applyNumberFormat="1" applyFont="1" applyFill="1" applyBorder="1" applyAlignment="1" applyProtection="1">
      <alignment horizontal="left"/>
      <protection hidden="1"/>
    </xf>
    <xf numFmtId="0" fontId="75" fillId="4" borderId="0" xfId="0" applyFont="1" applyFill="1" applyBorder="1" applyAlignment="1" applyProtection="1">
      <alignment horizontal="left" vertical="center"/>
      <protection hidden="1"/>
    </xf>
    <xf numFmtId="166" fontId="34" fillId="4" borderId="0" xfId="0" applyNumberFormat="1" applyFont="1" applyFill="1" applyBorder="1" applyAlignment="1" applyProtection="1">
      <alignment horizontal="left"/>
      <protection hidden="1"/>
    </xf>
    <xf numFmtId="2" fontId="34" fillId="4" borderId="0" xfId="0" applyNumberFormat="1" applyFont="1" applyFill="1" applyBorder="1" applyAlignment="1" applyProtection="1">
      <alignment horizontal="left"/>
      <protection hidden="1"/>
    </xf>
    <xf numFmtId="0" fontId="34" fillId="4" borderId="0" xfId="0" applyFont="1" applyFill="1" applyBorder="1" applyAlignment="1" applyProtection="1">
      <alignment horizontal="left" vertical="center"/>
      <protection hidden="1"/>
    </xf>
    <xf numFmtId="9" fontId="6" fillId="4" borderId="0" xfId="1" applyFont="1" applyFill="1" applyBorder="1" applyAlignment="1" applyProtection="1">
      <alignment horizontal="left"/>
      <protection hidden="1"/>
    </xf>
    <xf numFmtId="0" fontId="65" fillId="4" borderId="0" xfId="0" applyFont="1" applyFill="1" applyProtection="1">
      <protection hidden="1"/>
    </xf>
    <xf numFmtId="0" fontId="0" fillId="4" borderId="0" xfId="0" applyFont="1" applyFill="1" applyAlignment="1" applyProtection="1">
      <alignment horizontal="center"/>
      <protection hidden="1"/>
    </xf>
    <xf numFmtId="3" fontId="1" fillId="4" borderId="0" xfId="0" applyNumberFormat="1" applyFont="1" applyFill="1" applyBorder="1" applyAlignment="1" applyProtection="1">
      <alignment horizontal="right"/>
      <protection hidden="1"/>
    </xf>
    <xf numFmtId="10" fontId="0" fillId="4" borderId="0" xfId="1" applyNumberFormat="1" applyFont="1" applyFill="1" applyProtection="1">
      <protection hidden="1"/>
    </xf>
    <xf numFmtId="3" fontId="0" fillId="4" borderId="0" xfId="0" applyNumberFormat="1" applyFont="1" applyFill="1" applyBorder="1" applyAlignment="1" applyProtection="1">
      <alignment horizontal="center"/>
      <protection hidden="1"/>
    </xf>
    <xf numFmtId="0" fontId="14" fillId="4" borderId="0" xfId="0" applyFont="1" applyFill="1" applyProtection="1">
      <protection hidden="1"/>
    </xf>
    <xf numFmtId="0" fontId="30" fillId="4" borderId="0" xfId="0" applyFont="1" applyFill="1" applyProtection="1">
      <protection hidden="1"/>
    </xf>
    <xf numFmtId="0" fontId="53" fillId="8" borderId="0" xfId="0" applyFont="1" applyFill="1" applyAlignment="1" applyProtection="1">
      <alignment horizontal="left" vertical="center"/>
      <protection hidden="1"/>
    </xf>
    <xf numFmtId="0" fontId="53" fillId="4" borderId="0" xfId="0" applyFont="1" applyFill="1" applyAlignment="1" applyProtection="1">
      <alignment horizontal="left" vertical="center"/>
      <protection hidden="1"/>
    </xf>
    <xf numFmtId="165" fontId="0" fillId="4" borderId="0" xfId="0" applyNumberFormat="1" applyFont="1" applyFill="1" applyBorder="1" applyAlignment="1" applyProtection="1">
      <alignment horizontal="right"/>
      <protection hidden="1"/>
    </xf>
    <xf numFmtId="1" fontId="0" fillId="4" borderId="0" xfId="0" applyNumberFormat="1" applyFont="1" applyFill="1" applyProtection="1">
      <protection hidden="1"/>
    </xf>
    <xf numFmtId="164" fontId="0" fillId="10" borderId="1" xfId="0" applyNumberFormat="1" applyFont="1" applyFill="1" applyBorder="1" applyAlignment="1" applyProtection="1">
      <alignment horizontal="right"/>
      <protection hidden="1"/>
    </xf>
    <xf numFmtId="165" fontId="0" fillId="4" borderId="0" xfId="0" applyNumberFormat="1" applyFont="1" applyFill="1" applyAlignment="1" applyProtection="1">
      <alignment horizontal="right"/>
      <protection hidden="1"/>
    </xf>
    <xf numFmtId="0" fontId="0" fillId="4" borderId="0" xfId="0" applyFont="1" applyFill="1" applyAlignment="1" applyProtection="1">
      <alignment horizontal="right"/>
      <protection hidden="1"/>
    </xf>
    <xf numFmtId="0" fontId="0" fillId="4" borderId="0" xfId="0" applyFont="1" applyFill="1" applyBorder="1" applyProtection="1">
      <protection hidden="1"/>
    </xf>
    <xf numFmtId="0" fontId="0" fillId="4" borderId="0" xfId="0" applyFont="1" applyFill="1" applyBorder="1" applyAlignment="1" applyProtection="1">
      <alignment horizontal="center"/>
      <protection hidden="1"/>
    </xf>
    <xf numFmtId="1" fontId="0" fillId="4" borderId="0" xfId="0" applyNumberFormat="1" applyFont="1" applyFill="1" applyBorder="1" applyProtection="1">
      <protection hidden="1"/>
    </xf>
    <xf numFmtId="164" fontId="0" fillId="10" borderId="5" xfId="0" applyNumberFormat="1" applyFont="1" applyFill="1" applyBorder="1" applyAlignment="1" applyProtection="1">
      <alignment horizontal="right"/>
      <protection hidden="1"/>
    </xf>
    <xf numFmtId="0" fontId="26" fillId="4" borderId="0" xfId="0" applyFont="1" applyFill="1" applyBorder="1" applyProtection="1">
      <protection hidden="1"/>
    </xf>
    <xf numFmtId="0" fontId="1" fillId="4" borderId="10" xfId="0" applyFont="1" applyFill="1" applyBorder="1" applyProtection="1">
      <protection hidden="1"/>
    </xf>
    <xf numFmtId="165" fontId="0" fillId="4" borderId="10" xfId="0" applyNumberFormat="1" applyFont="1" applyFill="1" applyBorder="1" applyAlignment="1" applyProtection="1">
      <alignment horizontal="right"/>
      <protection hidden="1"/>
    </xf>
    <xf numFmtId="0" fontId="0" fillId="4" borderId="10" xfId="0" applyFont="1" applyFill="1" applyBorder="1" applyProtection="1">
      <protection hidden="1"/>
    </xf>
    <xf numFmtId="1" fontId="0" fillId="4" borderId="10" xfId="0" applyNumberFormat="1" applyFont="1" applyFill="1" applyBorder="1" applyProtection="1">
      <protection hidden="1"/>
    </xf>
    <xf numFmtId="0" fontId="26" fillId="4" borderId="10" xfId="0" applyFont="1" applyFill="1" applyBorder="1" applyProtection="1">
      <protection hidden="1"/>
    </xf>
    <xf numFmtId="0" fontId="1" fillId="4" borderId="9" xfId="0" applyFont="1" applyFill="1" applyBorder="1" applyProtection="1">
      <protection hidden="1"/>
    </xf>
    <xf numFmtId="165" fontId="0" fillId="4" borderId="9" xfId="0" applyNumberFormat="1" applyFont="1" applyFill="1" applyBorder="1" applyAlignment="1" applyProtection="1">
      <alignment horizontal="right"/>
      <protection hidden="1"/>
    </xf>
    <xf numFmtId="0" fontId="0" fillId="4" borderId="9" xfId="0" applyFont="1" applyFill="1" applyBorder="1" applyProtection="1">
      <protection hidden="1"/>
    </xf>
    <xf numFmtId="1" fontId="0" fillId="4" borderId="9" xfId="0" applyNumberFormat="1" applyFont="1" applyFill="1" applyBorder="1" applyProtection="1">
      <protection hidden="1"/>
    </xf>
    <xf numFmtId="164" fontId="0" fillId="4" borderId="9" xfId="0" applyNumberFormat="1" applyFont="1" applyFill="1" applyBorder="1" applyAlignment="1" applyProtection="1">
      <alignment horizontal="right"/>
      <protection hidden="1"/>
    </xf>
    <xf numFmtId="0" fontId="26" fillId="4" borderId="9" xfId="0" applyFont="1" applyFill="1" applyBorder="1" applyProtection="1">
      <protection hidden="1"/>
    </xf>
    <xf numFmtId="0" fontId="3" fillId="4" borderId="0" xfId="0" applyFont="1" applyFill="1" applyProtection="1">
      <protection hidden="1"/>
    </xf>
    <xf numFmtId="0" fontId="49" fillId="4" borderId="0" xfId="0" applyFont="1" applyFill="1" applyAlignment="1" applyProtection="1">
      <alignment horizontal="left"/>
      <protection hidden="1"/>
    </xf>
    <xf numFmtId="0" fontId="22" fillId="4" borderId="0" xfId="0" applyFont="1" applyFill="1" applyProtection="1">
      <protection hidden="1"/>
    </xf>
    <xf numFmtId="0" fontId="8" fillId="4" borderId="0" xfId="0" applyFont="1" applyFill="1" applyAlignment="1" applyProtection="1">
      <alignment vertical="center" wrapText="1"/>
      <protection hidden="1"/>
    </xf>
    <xf numFmtId="0" fontId="8" fillId="4" borderId="0" xfId="0" applyFont="1" applyFill="1" applyAlignment="1" applyProtection="1">
      <alignment horizontal="center"/>
      <protection hidden="1"/>
    </xf>
    <xf numFmtId="164" fontId="8" fillId="4" borderId="0" xfId="0" applyNumberFormat="1" applyFont="1" applyFill="1" applyAlignment="1" applyProtection="1">
      <alignment horizontal="left"/>
      <protection hidden="1"/>
    </xf>
    <xf numFmtId="0" fontId="8" fillId="4" borderId="0" xfId="0" applyFont="1" applyFill="1" applyProtection="1">
      <protection hidden="1"/>
    </xf>
    <xf numFmtId="165" fontId="8" fillId="4" borderId="0" xfId="0" applyNumberFormat="1" applyFont="1" applyFill="1" applyBorder="1" applyAlignment="1" applyProtection="1">
      <alignment horizontal="center" vertical="center" wrapText="1"/>
      <protection hidden="1"/>
    </xf>
    <xf numFmtId="164" fontId="8" fillId="4" borderId="0" xfId="0" applyNumberFormat="1" applyFont="1" applyFill="1" applyBorder="1" applyAlignment="1" applyProtection="1">
      <alignment horizontal="center" vertical="center" wrapText="1"/>
      <protection hidden="1"/>
    </xf>
    <xf numFmtId="0" fontId="53" fillId="4" borderId="0" xfId="0" applyFont="1" applyFill="1" applyAlignment="1" applyProtection="1">
      <alignment horizontal="center" vertical="center"/>
      <protection hidden="1"/>
    </xf>
    <xf numFmtId="0" fontId="8" fillId="4" borderId="0" xfId="0" applyFont="1" applyFill="1" applyAlignment="1" applyProtection="1">
      <protection hidden="1"/>
    </xf>
    <xf numFmtId="0" fontId="8" fillId="7" borderId="0" xfId="0" applyFont="1" applyFill="1" applyAlignment="1" applyProtection="1">
      <alignment horizontal="left" vertical="center" wrapText="1"/>
      <protection hidden="1"/>
    </xf>
    <xf numFmtId="165" fontId="8" fillId="10" borderId="1" xfId="0" applyNumberFormat="1" applyFont="1" applyFill="1" applyBorder="1" applyAlignment="1" applyProtection="1">
      <alignment horizontal="center" vertical="center" wrapText="1"/>
      <protection hidden="1"/>
    </xf>
    <xf numFmtId="164" fontId="8" fillId="3" borderId="1" xfId="0" applyNumberFormat="1" applyFont="1" applyFill="1" applyBorder="1" applyAlignment="1" applyProtection="1">
      <alignment horizontal="left" vertical="center" wrapText="1"/>
      <protection hidden="1"/>
    </xf>
    <xf numFmtId="0" fontId="8" fillId="7" borderId="0" xfId="0" applyFont="1" applyFill="1" applyAlignment="1" applyProtection="1">
      <alignment vertical="center" wrapText="1"/>
      <protection hidden="1"/>
    </xf>
    <xf numFmtId="0" fontId="53" fillId="8" borderId="0" xfId="0" applyFont="1" applyFill="1" applyAlignment="1" applyProtection="1">
      <alignment horizontal="center" vertical="center"/>
      <protection hidden="1"/>
    </xf>
    <xf numFmtId="0" fontId="8" fillId="7" borderId="0" xfId="0" applyFont="1" applyFill="1" applyBorder="1" applyAlignment="1" applyProtection="1">
      <alignment horizontal="left" vertical="center" wrapText="1"/>
      <protection hidden="1"/>
    </xf>
    <xf numFmtId="165" fontId="8" fillId="7" borderId="0" xfId="0" applyNumberFormat="1" applyFont="1" applyFill="1" applyBorder="1" applyAlignment="1" applyProtection="1">
      <alignment horizontal="left" vertical="center" wrapText="1"/>
      <protection hidden="1"/>
    </xf>
    <xf numFmtId="0" fontId="8" fillId="4" borderId="0" xfId="0" applyFont="1" applyFill="1" applyBorder="1" applyAlignment="1" applyProtection="1">
      <alignment horizontal="left"/>
      <protection hidden="1"/>
    </xf>
    <xf numFmtId="165" fontId="8" fillId="11" borderId="0" xfId="0" applyNumberFormat="1" applyFont="1" applyFill="1" applyBorder="1" applyAlignment="1" applyProtection="1">
      <alignment horizontal="left"/>
      <protection hidden="1"/>
    </xf>
    <xf numFmtId="164" fontId="8" fillId="4" borderId="0" xfId="0" applyNumberFormat="1" applyFont="1" applyFill="1" applyBorder="1" applyAlignment="1" applyProtection="1">
      <alignment horizontal="left" vertical="center" wrapText="1"/>
      <protection hidden="1"/>
    </xf>
    <xf numFmtId="165" fontId="8" fillId="4" borderId="0" xfId="0" applyNumberFormat="1" applyFont="1" applyFill="1" applyBorder="1" applyAlignment="1" applyProtection="1">
      <alignment horizontal="left" vertical="center" wrapText="1"/>
      <protection hidden="1"/>
    </xf>
    <xf numFmtId="0" fontId="8" fillId="3" borderId="1" xfId="0" applyFont="1" applyFill="1" applyBorder="1" applyAlignment="1" applyProtection="1">
      <alignment horizontal="center" vertical="center"/>
      <protection hidden="1"/>
    </xf>
    <xf numFmtId="165" fontId="8" fillId="4" borderId="0" xfId="0" applyNumberFormat="1" applyFont="1" applyFill="1" applyBorder="1" applyAlignment="1" applyProtection="1">
      <alignment horizontal="left"/>
      <protection hidden="1"/>
    </xf>
    <xf numFmtId="0" fontId="8" fillId="0" borderId="0" xfId="0" applyFont="1" applyFill="1" applyBorder="1" applyAlignment="1" applyProtection="1">
      <alignment horizontal="left" vertical="center" wrapText="1"/>
      <protection hidden="1"/>
    </xf>
    <xf numFmtId="0" fontId="8" fillId="3" borderId="1" xfId="0" applyFont="1" applyFill="1" applyBorder="1" applyAlignment="1" applyProtection="1">
      <alignment horizontal="center" vertical="center" wrapText="1"/>
      <protection hidden="1"/>
    </xf>
    <xf numFmtId="0" fontId="8" fillId="7" borderId="9" xfId="0" applyFont="1" applyFill="1" applyBorder="1" applyAlignment="1" applyProtection="1">
      <alignment horizontal="left" vertical="center" wrapText="1"/>
      <protection hidden="1"/>
    </xf>
    <xf numFmtId="165" fontId="8" fillId="7" borderId="9" xfId="0" applyNumberFormat="1" applyFont="1" applyFill="1" applyBorder="1" applyAlignment="1" applyProtection="1">
      <alignment horizontal="left" vertical="center" wrapText="1"/>
      <protection hidden="1"/>
    </xf>
    <xf numFmtId="0" fontId="8" fillId="4" borderId="9" xfId="0" applyFont="1" applyFill="1" applyBorder="1" applyAlignment="1" applyProtection="1">
      <alignment horizontal="left"/>
      <protection hidden="1"/>
    </xf>
    <xf numFmtId="165" fontId="8" fillId="4" borderId="9" xfId="0" applyNumberFormat="1" applyFont="1" applyFill="1" applyBorder="1" applyAlignment="1" applyProtection="1">
      <alignment horizontal="left" vertical="center" wrapText="1"/>
      <protection hidden="1"/>
    </xf>
    <xf numFmtId="165" fontId="0" fillId="4" borderId="0" xfId="0" applyNumberFormat="1" applyFont="1" applyFill="1" applyProtection="1">
      <protection hidden="1"/>
    </xf>
    <xf numFmtId="0" fontId="28" fillId="4" borderId="0" xfId="0" applyFont="1" applyFill="1" applyAlignment="1" applyProtection="1">
      <alignment horizontal="center"/>
      <protection hidden="1"/>
    </xf>
    <xf numFmtId="165" fontId="28" fillId="4" borderId="0" xfId="0" applyNumberFormat="1" applyFont="1" applyFill="1" applyProtection="1">
      <protection hidden="1"/>
    </xf>
    <xf numFmtId="0" fontId="28" fillId="4" borderId="0" xfId="0" applyFont="1" applyFill="1" applyAlignment="1" applyProtection="1">
      <alignment horizontal="right"/>
      <protection hidden="1"/>
    </xf>
    <xf numFmtId="164" fontId="28" fillId="4" borderId="0" xfId="0" applyNumberFormat="1" applyFont="1" applyFill="1" applyProtection="1">
      <protection hidden="1"/>
    </xf>
    <xf numFmtId="0" fontId="28" fillId="4" borderId="0" xfId="0" applyFont="1" applyFill="1" applyAlignment="1" applyProtection="1">
      <alignment horizontal="left"/>
      <protection hidden="1"/>
    </xf>
    <xf numFmtId="0" fontId="15" fillId="0" borderId="0" xfId="0" applyFont="1" applyFill="1" applyBorder="1" applyAlignment="1" applyProtection="1">
      <alignment wrapText="1"/>
      <protection hidden="1"/>
    </xf>
    <xf numFmtId="0" fontId="0" fillId="0" borderId="0" xfId="0" applyFont="1" applyProtection="1">
      <protection hidden="1"/>
    </xf>
    <xf numFmtId="0" fontId="9" fillId="0" borderId="0" xfId="2" applyFont="1" applyFill="1" applyBorder="1" applyProtection="1">
      <protection hidden="1"/>
    </xf>
    <xf numFmtId="0" fontId="9" fillId="0" borderId="0" xfId="0" applyFont="1" applyFill="1" applyBorder="1" applyAlignment="1" applyProtection="1">
      <alignment horizontal="right"/>
      <protection hidden="1"/>
    </xf>
    <xf numFmtId="0" fontId="4" fillId="0" borderId="0" xfId="2" applyFont="1" applyFill="1" applyBorder="1" applyProtection="1">
      <protection hidden="1"/>
    </xf>
    <xf numFmtId="0" fontId="13" fillId="0" borderId="0" xfId="0" applyFont="1" applyFill="1" applyBorder="1" applyAlignment="1" applyProtection="1">
      <alignment horizontal="left"/>
      <protection hidden="1"/>
    </xf>
    <xf numFmtId="0" fontId="13" fillId="0" borderId="0" xfId="0" applyFont="1" applyAlignment="1" applyProtection="1">
      <alignment horizontal="left"/>
      <protection hidden="1"/>
    </xf>
    <xf numFmtId="0" fontId="9" fillId="0" borderId="0" xfId="0" applyFont="1" applyBorder="1" applyAlignment="1" applyProtection="1">
      <alignment horizontal="right"/>
      <protection hidden="1"/>
    </xf>
    <xf numFmtId="0" fontId="11" fillId="0" borderId="0" xfId="0" applyFont="1" applyBorder="1" applyAlignment="1" applyProtection="1">
      <alignment horizontal="left"/>
      <protection hidden="1"/>
    </xf>
    <xf numFmtId="0" fontId="0" fillId="0" borderId="0" xfId="0" applyFont="1" applyAlignment="1" applyProtection="1">
      <alignment horizontal="center"/>
      <protection hidden="1"/>
    </xf>
    <xf numFmtId="0" fontId="0" fillId="4" borderId="0" xfId="0" applyFont="1" applyFill="1" applyAlignment="1" applyProtection="1">
      <alignment horizontal="left"/>
      <protection hidden="1"/>
    </xf>
    <xf numFmtId="3" fontId="0" fillId="4" borderId="0" xfId="0" applyNumberFormat="1" applyFont="1" applyFill="1" applyProtection="1">
      <protection hidden="1"/>
    </xf>
    <xf numFmtId="0" fontId="31" fillId="4" borderId="0" xfId="0" applyFont="1" applyFill="1" applyProtection="1">
      <protection hidden="1"/>
    </xf>
    <xf numFmtId="0" fontId="53" fillId="8" borderId="0" xfId="0" applyFont="1" applyFill="1" applyAlignment="1" applyProtection="1">
      <alignment horizontal="right" vertical="center"/>
      <protection hidden="1"/>
    </xf>
    <xf numFmtId="164" fontId="0" fillId="4" borderId="0" xfId="0" applyNumberFormat="1" applyFont="1" applyFill="1" applyAlignment="1" applyProtection="1">
      <alignment horizontal="right"/>
      <protection hidden="1"/>
    </xf>
    <xf numFmtId="2" fontId="0" fillId="4" borderId="0" xfId="0" applyNumberFormat="1" applyFont="1" applyFill="1" applyAlignment="1" applyProtection="1">
      <alignment horizontal="right"/>
      <protection hidden="1"/>
    </xf>
    <xf numFmtId="3" fontId="0" fillId="4" borderId="0" xfId="0" applyNumberFormat="1" applyFont="1" applyFill="1" applyBorder="1" applyAlignment="1" applyProtection="1">
      <alignment horizontal="right"/>
      <protection hidden="1"/>
    </xf>
    <xf numFmtId="9" fontId="1" fillId="4" borderId="0" xfId="1" applyFont="1" applyFill="1" applyAlignment="1" applyProtection="1">
      <alignment horizontal="left"/>
      <protection hidden="1"/>
    </xf>
    <xf numFmtId="2" fontId="0" fillId="4" borderId="0" xfId="0" applyNumberFormat="1" applyFont="1" applyFill="1" applyBorder="1" applyAlignment="1" applyProtection="1">
      <alignment horizontal="right"/>
      <protection hidden="1"/>
    </xf>
    <xf numFmtId="0" fontId="50" fillId="4" borderId="0" xfId="0" applyFont="1" applyFill="1" applyProtection="1">
      <protection hidden="1"/>
    </xf>
    <xf numFmtId="0" fontId="42" fillId="4" borderId="0" xfId="0" applyFont="1" applyFill="1" applyProtection="1">
      <protection hidden="1"/>
    </xf>
    <xf numFmtId="0" fontId="49" fillId="4" borderId="0" xfId="0" applyFont="1" applyFill="1" applyProtection="1">
      <protection hidden="1"/>
    </xf>
    <xf numFmtId="0" fontId="58" fillId="4" borderId="0" xfId="0" applyFont="1" applyFill="1" applyProtection="1">
      <protection hidden="1"/>
    </xf>
    <xf numFmtId="0" fontId="51" fillId="4" borderId="0" xfId="0" applyFont="1" applyFill="1" applyProtection="1">
      <protection hidden="1"/>
    </xf>
    <xf numFmtId="0" fontId="42" fillId="4" borderId="0" xfId="0" applyFont="1" applyFill="1" applyAlignment="1" applyProtection="1">
      <alignment horizontal="left"/>
      <protection hidden="1"/>
    </xf>
    <xf numFmtId="1" fontId="0" fillId="4" borderId="0" xfId="0" applyNumberFormat="1" applyFont="1" applyFill="1" applyAlignment="1" applyProtection="1">
      <alignment horizontal="right"/>
      <protection hidden="1"/>
    </xf>
    <xf numFmtId="0" fontId="34" fillId="4" borderId="0" xfId="0" applyFont="1" applyFill="1" applyProtection="1">
      <protection hidden="1"/>
    </xf>
    <xf numFmtId="0" fontId="7" fillId="4" borderId="0" xfId="0" applyFont="1" applyFill="1" applyProtection="1">
      <protection hidden="1"/>
    </xf>
    <xf numFmtId="0" fontId="20" fillId="4" borderId="4" xfId="0" applyFont="1" applyFill="1" applyBorder="1" applyProtection="1">
      <protection hidden="1"/>
    </xf>
    <xf numFmtId="0" fontId="0" fillId="4" borderId="11" xfId="0" applyFont="1" applyFill="1" applyBorder="1" applyProtection="1">
      <protection hidden="1"/>
    </xf>
    <xf numFmtId="0" fontId="0" fillId="4" borderId="12" xfId="0" applyFont="1" applyFill="1" applyBorder="1" applyProtection="1">
      <protection hidden="1"/>
    </xf>
    <xf numFmtId="0" fontId="1" fillId="4" borderId="0" xfId="0" applyFont="1" applyFill="1" applyBorder="1" applyProtection="1">
      <protection hidden="1"/>
    </xf>
    <xf numFmtId="0" fontId="0" fillId="4" borderId="13" xfId="0" applyFont="1" applyFill="1" applyBorder="1" applyProtection="1">
      <protection hidden="1"/>
    </xf>
    <xf numFmtId="0" fontId="0" fillId="10" borderId="0" xfId="0" applyFont="1" applyFill="1" applyBorder="1" applyAlignment="1" applyProtection="1">
      <alignment horizontal="center"/>
      <protection hidden="1"/>
    </xf>
    <xf numFmtId="0" fontId="0" fillId="4" borderId="6" xfId="0" applyFont="1" applyFill="1" applyBorder="1" applyProtection="1">
      <protection hidden="1"/>
    </xf>
    <xf numFmtId="0" fontId="0" fillId="10" borderId="9" xfId="0" applyFont="1" applyFill="1" applyBorder="1" applyAlignment="1" applyProtection="1">
      <alignment horizontal="center"/>
      <protection hidden="1"/>
    </xf>
    <xf numFmtId="0" fontId="0" fillId="4" borderId="14" xfId="0" applyFont="1" applyFill="1" applyBorder="1" applyProtection="1">
      <protection hidden="1"/>
    </xf>
    <xf numFmtId="0" fontId="6" fillId="4" borderId="0" xfId="0" applyFont="1" applyFill="1" applyBorder="1" applyAlignment="1" applyProtection="1">
      <alignment horizontal="left" vertical="top"/>
      <protection hidden="1"/>
    </xf>
    <xf numFmtId="3" fontId="34" fillId="4" borderId="0" xfId="0" applyNumberFormat="1" applyFont="1" applyFill="1" applyBorder="1" applyAlignment="1" applyProtection="1">
      <alignment horizontal="left" vertical="top"/>
      <protection hidden="1"/>
    </xf>
    <xf numFmtId="1" fontId="34" fillId="4" borderId="0" xfId="0" applyNumberFormat="1" applyFont="1" applyFill="1" applyBorder="1" applyAlignment="1" applyProtection="1">
      <alignment horizontal="left" vertical="top"/>
      <protection hidden="1"/>
    </xf>
    <xf numFmtId="164" fontId="34" fillId="4" borderId="0" xfId="0" applyNumberFormat="1" applyFont="1" applyFill="1" applyBorder="1" applyAlignment="1" applyProtection="1">
      <alignment horizontal="left" vertical="top"/>
      <protection hidden="1"/>
    </xf>
    <xf numFmtId="0" fontId="74" fillId="4" borderId="0" xfId="0" applyFont="1" applyFill="1" applyBorder="1" applyProtection="1">
      <protection hidden="1"/>
    </xf>
    <xf numFmtId="164" fontId="74" fillId="4" borderId="0" xfId="0" applyNumberFormat="1" applyFont="1" applyFill="1" applyBorder="1" applyAlignment="1" applyProtection="1">
      <alignment horizontal="left"/>
      <protection hidden="1"/>
    </xf>
    <xf numFmtId="0" fontId="32" fillId="4" borderId="0" xfId="0" applyFont="1" applyFill="1" applyProtection="1">
      <protection hidden="1"/>
    </xf>
    <xf numFmtId="0" fontId="0" fillId="0" borderId="0" xfId="0" applyFont="1" applyAlignment="1" applyProtection="1">
      <alignment horizontal="left"/>
      <protection hidden="1"/>
    </xf>
    <xf numFmtId="3" fontId="0" fillId="4" borderId="0" xfId="0" applyNumberFormat="1" applyFill="1" applyAlignment="1" applyProtection="1">
      <alignment horizontal="center" vertical="top"/>
      <protection hidden="1"/>
    </xf>
    <xf numFmtId="3" fontId="0" fillId="4" borderId="0" xfId="0" applyNumberFormat="1" applyFill="1" applyAlignment="1" applyProtection="1">
      <alignment horizontal="left" vertical="top"/>
      <protection hidden="1"/>
    </xf>
    <xf numFmtId="9" fontId="1" fillId="4" borderId="0" xfId="1" applyFont="1" applyFill="1" applyAlignment="1" applyProtection="1">
      <alignment horizontal="center" vertical="top"/>
      <protection hidden="1"/>
    </xf>
    <xf numFmtId="3" fontId="26" fillId="4" borderId="0" xfId="0" applyNumberFormat="1" applyFont="1" applyFill="1" applyAlignment="1" applyProtection="1">
      <alignment horizontal="left" vertical="top"/>
      <protection hidden="1"/>
    </xf>
    <xf numFmtId="0" fontId="0" fillId="4" borderId="0" xfId="0" applyFill="1" applyBorder="1" applyAlignment="1" applyProtection="1">
      <alignment horizontal="center" vertical="top"/>
      <protection hidden="1"/>
    </xf>
    <xf numFmtId="3" fontId="0" fillId="10" borderId="1" xfId="0" applyNumberFormat="1" applyFill="1" applyBorder="1" applyAlignment="1" applyProtection="1">
      <alignment horizontal="center" vertical="top"/>
      <protection hidden="1"/>
    </xf>
    <xf numFmtId="3" fontId="0" fillId="4" borderId="0" xfId="0" applyNumberFormat="1" applyFill="1" applyBorder="1" applyAlignment="1" applyProtection="1">
      <alignment horizontal="center" vertical="top"/>
      <protection hidden="1"/>
    </xf>
    <xf numFmtId="9" fontId="34" fillId="4" borderId="0" xfId="1" applyFont="1" applyFill="1" applyBorder="1" applyAlignment="1" applyProtection="1">
      <alignment horizontal="center" vertical="top"/>
      <protection hidden="1"/>
    </xf>
    <xf numFmtId="0" fontId="0" fillId="4" borderId="9" xfId="0" applyFill="1" applyBorder="1" applyAlignment="1" applyProtection="1">
      <alignment horizontal="left" vertical="top"/>
      <protection hidden="1"/>
    </xf>
    <xf numFmtId="0" fontId="0" fillId="4" borderId="6" xfId="0" applyFill="1" applyBorder="1" applyAlignment="1" applyProtection="1">
      <alignment horizontal="left" vertical="top"/>
      <protection hidden="1"/>
    </xf>
    <xf numFmtId="3" fontId="0" fillId="4" borderId="9" xfId="0" applyNumberFormat="1" applyFill="1" applyBorder="1" applyAlignment="1" applyProtection="1">
      <alignment horizontal="center" vertical="top"/>
      <protection hidden="1"/>
    </xf>
    <xf numFmtId="0" fontId="0" fillId="4" borderId="0" xfId="0" applyFill="1" applyBorder="1" applyAlignment="1" applyProtection="1">
      <alignment horizontal="left" vertical="top" wrapText="1"/>
      <protection hidden="1"/>
    </xf>
    <xf numFmtId="0" fontId="28" fillId="4" borderId="0" xfId="0" applyFont="1" applyFill="1" applyBorder="1" applyAlignment="1" applyProtection="1">
      <alignment horizontal="left" vertical="top" wrapText="1"/>
      <protection hidden="1"/>
    </xf>
    <xf numFmtId="0" fontId="0" fillId="4" borderId="9" xfId="0" applyFill="1" applyBorder="1" applyAlignment="1" applyProtection="1">
      <alignment horizontal="center" vertical="top"/>
      <protection hidden="1"/>
    </xf>
    <xf numFmtId="0" fontId="21" fillId="4" borderId="0" xfId="0" applyFont="1" applyFill="1" applyBorder="1" applyAlignment="1" applyProtection="1">
      <alignment horizontal="left" vertical="top"/>
      <protection hidden="1"/>
    </xf>
    <xf numFmtId="0" fontId="21" fillId="4" borderId="0" xfId="0" applyFont="1" applyFill="1" applyBorder="1" applyAlignment="1" applyProtection="1">
      <alignment horizontal="center" vertical="top"/>
      <protection hidden="1"/>
    </xf>
    <xf numFmtId="3" fontId="21" fillId="4" borderId="0" xfId="0" applyNumberFormat="1" applyFont="1" applyFill="1" applyBorder="1" applyAlignment="1" applyProtection="1">
      <alignment horizontal="center" vertical="top"/>
      <protection hidden="1"/>
    </xf>
    <xf numFmtId="0" fontId="10" fillId="4" borderId="0" xfId="0" applyFont="1" applyFill="1" applyBorder="1" applyAlignment="1" applyProtection="1">
      <alignment horizontal="left" vertical="top"/>
      <protection hidden="1"/>
    </xf>
    <xf numFmtId="3" fontId="10" fillId="4" borderId="0" xfId="0" applyNumberFormat="1" applyFont="1" applyFill="1" applyBorder="1" applyAlignment="1" applyProtection="1">
      <alignment horizontal="center" vertical="top"/>
      <protection hidden="1"/>
    </xf>
    <xf numFmtId="3" fontId="0" fillId="0" borderId="0" xfId="0" applyNumberFormat="1" applyAlignment="1" applyProtection="1">
      <alignment horizontal="left" vertical="top"/>
      <protection hidden="1"/>
    </xf>
    <xf numFmtId="3" fontId="0" fillId="0" borderId="0" xfId="0" applyNumberFormat="1" applyAlignment="1" applyProtection="1">
      <alignment horizontal="center" vertical="top"/>
      <protection hidden="1"/>
    </xf>
    <xf numFmtId="0" fontId="0" fillId="4" borderId="18" xfId="0" applyFont="1" applyFill="1" applyBorder="1" applyAlignment="1" applyProtection="1">
      <protection hidden="1"/>
    </xf>
    <xf numFmtId="0" fontId="0" fillId="4" borderId="0" xfId="0" applyFont="1" applyFill="1" applyAlignment="1" applyProtection="1">
      <protection hidden="1"/>
    </xf>
    <xf numFmtId="0" fontId="53" fillId="8" borderId="0" xfId="0" applyFont="1" applyFill="1" applyAlignment="1" applyProtection="1">
      <alignment horizontal="left" vertical="center"/>
      <protection hidden="1"/>
    </xf>
    <xf numFmtId="0" fontId="38" fillId="4" borderId="0" xfId="0" applyFont="1" applyFill="1" applyAlignment="1" applyProtection="1">
      <protection hidden="1"/>
    </xf>
    <xf numFmtId="0" fontId="38" fillId="0" borderId="0" xfId="0" applyFont="1" applyAlignment="1" applyProtection="1">
      <protection hidden="1"/>
    </xf>
    <xf numFmtId="0" fontId="38" fillId="2" borderId="0" xfId="0" applyFont="1" applyFill="1" applyProtection="1">
      <protection hidden="1"/>
    </xf>
    <xf numFmtId="0" fontId="8" fillId="2" borderId="0" xfId="0" applyFont="1" applyFill="1" applyProtection="1">
      <protection hidden="1"/>
    </xf>
    <xf numFmtId="3" fontId="8" fillId="2" borderId="0" xfId="0" applyNumberFormat="1" applyFont="1" applyFill="1" applyProtection="1">
      <protection hidden="1"/>
    </xf>
    <xf numFmtId="0" fontId="47" fillId="2" borderId="0" xfId="0" applyFont="1" applyFill="1" applyProtection="1">
      <protection hidden="1"/>
    </xf>
    <xf numFmtId="0" fontId="59" fillId="4" borderId="0" xfId="0" applyFont="1" applyFill="1" applyProtection="1">
      <protection hidden="1"/>
    </xf>
    <xf numFmtId="165" fontId="59" fillId="4" borderId="0" xfId="0" applyNumberFormat="1" applyFont="1" applyFill="1" applyProtection="1">
      <protection hidden="1"/>
    </xf>
    <xf numFmtId="0" fontId="8" fillId="3" borderId="1" xfId="0" applyFont="1" applyFill="1" applyBorder="1" applyProtection="1">
      <protection hidden="1"/>
    </xf>
    <xf numFmtId="3" fontId="8" fillId="4" borderId="0" xfId="0" applyNumberFormat="1" applyFont="1" applyFill="1" applyProtection="1">
      <protection hidden="1"/>
    </xf>
    <xf numFmtId="0" fontId="47" fillId="4" borderId="0" xfId="0" applyFont="1" applyFill="1" applyProtection="1">
      <protection hidden="1"/>
    </xf>
    <xf numFmtId="165" fontId="8" fillId="4" borderId="0" xfId="0" applyNumberFormat="1" applyFont="1" applyFill="1" applyProtection="1">
      <protection hidden="1"/>
    </xf>
    <xf numFmtId="0" fontId="8" fillId="10" borderId="1" xfId="0" applyFont="1" applyFill="1" applyBorder="1" applyProtection="1">
      <protection hidden="1"/>
    </xf>
    <xf numFmtId="2" fontId="8" fillId="3" borderId="1" xfId="0" applyNumberFormat="1" applyFont="1" applyFill="1" applyBorder="1" applyProtection="1">
      <protection hidden="1"/>
    </xf>
    <xf numFmtId="0" fontId="8" fillId="4" borderId="2" xfId="0" applyFont="1" applyFill="1" applyBorder="1" applyProtection="1">
      <protection hidden="1"/>
    </xf>
    <xf numFmtId="3" fontId="8" fillId="3" borderId="16" xfId="0" applyNumberFormat="1" applyFont="1" applyFill="1" applyBorder="1" applyProtection="1">
      <protection hidden="1"/>
    </xf>
    <xf numFmtId="0" fontId="47" fillId="4" borderId="2" xfId="0" applyFont="1" applyFill="1" applyBorder="1" applyProtection="1">
      <protection hidden="1"/>
    </xf>
    <xf numFmtId="3" fontId="3" fillId="4" borderId="0" xfId="0" applyNumberFormat="1" applyFont="1" applyFill="1" applyProtection="1">
      <protection hidden="1"/>
    </xf>
    <xf numFmtId="0" fontId="54" fillId="4" borderId="0" xfId="0" applyFont="1" applyFill="1" applyAlignment="1" applyProtection="1">
      <alignment horizontal="left" vertical="center"/>
      <protection hidden="1"/>
    </xf>
    <xf numFmtId="0" fontId="8" fillId="0" borderId="0" xfId="0" applyFont="1" applyProtection="1">
      <protection hidden="1"/>
    </xf>
    <xf numFmtId="0" fontId="55" fillId="9" borderId="0" xfId="0" applyFont="1" applyFill="1" applyAlignment="1" applyProtection="1">
      <alignment horizontal="left" vertical="center"/>
      <protection hidden="1"/>
    </xf>
    <xf numFmtId="0" fontId="56" fillId="9" borderId="0" xfId="0" applyFont="1" applyFill="1" applyAlignment="1" applyProtection="1">
      <alignment horizontal="center" vertical="center"/>
      <protection hidden="1"/>
    </xf>
    <xf numFmtId="0" fontId="8" fillId="0" borderId="0" xfId="0" applyFont="1" applyAlignment="1" applyProtection="1">
      <protection hidden="1"/>
    </xf>
    <xf numFmtId="1" fontId="8" fillId="4" borderId="0" xfId="0" applyNumberFormat="1" applyFont="1" applyFill="1" applyProtection="1">
      <protection hidden="1"/>
    </xf>
    <xf numFmtId="1" fontId="8" fillId="4" borderId="0" xfId="0" applyNumberFormat="1" applyFont="1" applyFill="1" applyAlignment="1" applyProtection="1">
      <alignment horizontal="right"/>
      <protection hidden="1"/>
    </xf>
    <xf numFmtId="3" fontId="8" fillId="10" borderId="1" xfId="0" applyNumberFormat="1" applyFont="1" applyFill="1" applyBorder="1" applyProtection="1">
      <protection hidden="1"/>
    </xf>
    <xf numFmtId="164" fontId="8" fillId="3" borderId="1" xfId="0" applyNumberFormat="1" applyFont="1" applyFill="1" applyBorder="1" applyProtection="1">
      <protection hidden="1"/>
    </xf>
    <xf numFmtId="0" fontId="48" fillId="4" borderId="0" xfId="0" applyFont="1" applyFill="1" applyProtection="1">
      <protection hidden="1"/>
    </xf>
    <xf numFmtId="0" fontId="8" fillId="4" borderId="0" xfId="0" applyFont="1" applyFill="1" applyBorder="1" applyProtection="1">
      <protection hidden="1"/>
    </xf>
    <xf numFmtId="0" fontId="56" fillId="4" borderId="0" xfId="0" applyFont="1" applyFill="1" applyAlignment="1" applyProtection="1">
      <alignment horizontal="left" vertical="center"/>
      <protection hidden="1"/>
    </xf>
    <xf numFmtId="0" fontId="56" fillId="4" borderId="0" xfId="0" applyFont="1" applyFill="1" applyBorder="1" applyAlignment="1" applyProtection="1">
      <alignment horizontal="left" vertical="center"/>
      <protection hidden="1"/>
    </xf>
    <xf numFmtId="3" fontId="8" fillId="3" borderId="1" xfId="0" applyNumberFormat="1" applyFont="1" applyFill="1" applyBorder="1" applyProtection="1">
      <protection hidden="1"/>
    </xf>
    <xf numFmtId="1" fontId="8" fillId="10" borderId="1" xfId="0" applyNumberFormat="1" applyFont="1" applyFill="1" applyBorder="1" applyProtection="1">
      <protection hidden="1"/>
    </xf>
    <xf numFmtId="0" fontId="8" fillId="10" borderId="16" xfId="0" applyFont="1" applyFill="1" applyBorder="1" applyProtection="1">
      <protection hidden="1"/>
    </xf>
    <xf numFmtId="0" fontId="21" fillId="4" borderId="0" xfId="0" applyFont="1" applyFill="1" applyProtection="1">
      <protection hidden="1"/>
    </xf>
    <xf numFmtId="3" fontId="21" fillId="4" borderId="0" xfId="0" applyNumberFormat="1" applyFont="1" applyFill="1" applyProtection="1">
      <protection hidden="1"/>
    </xf>
    <xf numFmtId="0" fontId="10" fillId="4" borderId="0" xfId="0" applyFont="1" applyFill="1" applyProtection="1">
      <protection hidden="1"/>
    </xf>
    <xf numFmtId="0" fontId="55" fillId="7" borderId="0" xfId="0" applyFont="1" applyFill="1" applyBorder="1" applyAlignment="1" applyProtection="1">
      <alignment horizontal="left" vertical="center" wrapText="1" indent="2"/>
      <protection hidden="1"/>
    </xf>
    <xf numFmtId="3" fontId="40" fillId="4" borderId="0" xfId="0" applyNumberFormat="1" applyFont="1" applyFill="1" applyProtection="1">
      <protection hidden="1"/>
    </xf>
    <xf numFmtId="0" fontId="40" fillId="4" borderId="0" xfId="0" applyFont="1" applyFill="1" applyProtection="1">
      <protection hidden="1"/>
    </xf>
    <xf numFmtId="0" fontId="8" fillId="7" borderId="0" xfId="0" applyFont="1" applyFill="1" applyProtection="1">
      <protection hidden="1"/>
    </xf>
    <xf numFmtId="0" fontId="28" fillId="4" borderId="0" xfId="0" applyFont="1" applyFill="1" applyBorder="1" applyAlignment="1" applyProtection="1">
      <protection hidden="1"/>
    </xf>
    <xf numFmtId="0" fontId="28" fillId="4" borderId="0" xfId="0" applyFont="1" applyFill="1" applyAlignment="1" applyProtection="1">
      <protection hidden="1"/>
    </xf>
    <xf numFmtId="0" fontId="70" fillId="4" borderId="0" xfId="0" applyFont="1" applyFill="1" applyAlignment="1" applyProtection="1">
      <alignment horizontal="left" vertical="center"/>
      <protection hidden="1"/>
    </xf>
    <xf numFmtId="0" fontId="59" fillId="4" borderId="0" xfId="0" applyFont="1" applyFill="1" applyAlignment="1" applyProtection="1">
      <protection hidden="1"/>
    </xf>
    <xf numFmtId="0" fontId="59" fillId="4" borderId="0" xfId="0" applyFont="1" applyFill="1" applyAlignment="1" applyProtection="1">
      <alignment horizontal="left" vertical="center"/>
      <protection hidden="1"/>
    </xf>
    <xf numFmtId="3" fontId="8" fillId="4" borderId="0" xfId="0" applyNumberFormat="1" applyFont="1" applyFill="1" applyAlignment="1" applyProtection="1">
      <alignment horizontal="right" vertical="center"/>
      <protection hidden="1"/>
    </xf>
    <xf numFmtId="0" fontId="8" fillId="4" borderId="0" xfId="0" applyFont="1" applyFill="1" applyAlignment="1" applyProtection="1">
      <alignment horizontal="left" vertical="center"/>
      <protection hidden="1"/>
    </xf>
    <xf numFmtId="9" fontId="8" fillId="3" borderId="1" xfId="1" applyNumberFormat="1" applyFont="1" applyFill="1" applyBorder="1" applyAlignment="1" applyProtection="1">
      <alignment horizontal="right" vertical="center"/>
      <protection hidden="1"/>
    </xf>
    <xf numFmtId="0" fontId="69" fillId="4" borderId="0" xfId="0" applyFont="1" applyFill="1" applyAlignment="1" applyProtection="1">
      <alignment horizontal="left" vertical="center"/>
      <protection hidden="1"/>
    </xf>
    <xf numFmtId="0" fontId="69" fillId="4" borderId="0" xfId="0" applyFont="1" applyFill="1" applyAlignment="1" applyProtection="1">
      <alignment vertical="center"/>
      <protection hidden="1"/>
    </xf>
    <xf numFmtId="9" fontId="8" fillId="4" borderId="0" xfId="0" applyNumberFormat="1" applyFont="1" applyFill="1" applyAlignment="1" applyProtection="1">
      <alignment vertical="center"/>
      <protection hidden="1"/>
    </xf>
    <xf numFmtId="0" fontId="46" fillId="2" borderId="0" xfId="0" applyFont="1" applyFill="1" applyAlignment="1" applyProtection="1">
      <alignment horizontal="left" vertical="center"/>
      <protection hidden="1"/>
    </xf>
    <xf numFmtId="0" fontId="8" fillId="2" borderId="0" xfId="0" applyFont="1" applyFill="1" applyAlignment="1" applyProtection="1">
      <alignment horizontal="left" vertical="center"/>
      <protection hidden="1"/>
    </xf>
    <xf numFmtId="164" fontId="8" fillId="4" borderId="0" xfId="0" applyNumberFormat="1" applyFont="1" applyFill="1" applyAlignment="1" applyProtection="1">
      <alignment horizontal="right" vertical="center"/>
      <protection hidden="1"/>
    </xf>
    <xf numFmtId="0" fontId="69" fillId="4" borderId="0" xfId="0" applyFont="1" applyFill="1" applyAlignment="1" applyProtection="1">
      <protection hidden="1"/>
    </xf>
    <xf numFmtId="0" fontId="0" fillId="4" borderId="0" xfId="0" applyFont="1" applyFill="1" applyBorder="1" applyAlignment="1" applyProtection="1">
      <protection hidden="1"/>
    </xf>
    <xf numFmtId="0" fontId="0" fillId="0" borderId="0" xfId="0" applyFont="1" applyAlignment="1" applyProtection="1">
      <protection hidden="1"/>
    </xf>
    <xf numFmtId="0" fontId="28" fillId="0" borderId="0" xfId="0" applyFont="1" applyAlignment="1" applyProtection="1">
      <protection hidden="1"/>
    </xf>
    <xf numFmtId="0" fontId="0" fillId="2" borderId="0" xfId="0" applyFill="1" applyProtection="1">
      <protection hidden="1"/>
    </xf>
    <xf numFmtId="1" fontId="0" fillId="4" borderId="0" xfId="0" applyNumberFormat="1" applyFill="1" applyProtection="1">
      <protection hidden="1"/>
    </xf>
    <xf numFmtId="164" fontId="0" fillId="4" borderId="0" xfId="0" applyNumberFormat="1" applyFill="1" applyProtection="1">
      <protection hidden="1"/>
    </xf>
    <xf numFmtId="3" fontId="28" fillId="4" borderId="0" xfId="0" applyNumberFormat="1" applyFont="1" applyFill="1" applyAlignment="1" applyProtection="1">
      <alignment horizontal="right"/>
      <protection hidden="1"/>
    </xf>
    <xf numFmtId="1" fontId="28" fillId="4" borderId="0" xfId="0" applyNumberFormat="1" applyFont="1" applyFill="1" applyProtection="1">
      <protection hidden="1"/>
    </xf>
    <xf numFmtId="3" fontId="1" fillId="2" borderId="0" xfId="0" applyNumberFormat="1" applyFont="1" applyFill="1" applyProtection="1">
      <protection hidden="1"/>
    </xf>
    <xf numFmtId="3" fontId="1" fillId="4" borderId="0" xfId="0" applyNumberFormat="1" applyFont="1" applyFill="1" applyProtection="1">
      <protection hidden="1"/>
    </xf>
    <xf numFmtId="3" fontId="1" fillId="2" borderId="0" xfId="0" applyNumberFormat="1" applyFont="1" applyFill="1" applyAlignment="1" applyProtection="1">
      <alignment horizontal="right"/>
      <protection hidden="1"/>
    </xf>
    <xf numFmtId="164" fontId="0" fillId="4" borderId="0" xfId="0" applyNumberFormat="1" applyFill="1" applyAlignment="1" applyProtection="1">
      <alignment horizontal="right"/>
      <protection hidden="1"/>
    </xf>
    <xf numFmtId="2" fontId="0" fillId="4" borderId="0" xfId="0" applyNumberFormat="1" applyFill="1" applyAlignment="1" applyProtection="1">
      <alignment horizontal="right"/>
      <protection hidden="1"/>
    </xf>
    <xf numFmtId="164" fontId="1" fillId="4" borderId="0" xfId="0" applyNumberFormat="1" applyFont="1" applyFill="1" applyProtection="1">
      <protection hidden="1"/>
    </xf>
    <xf numFmtId="0" fontId="28" fillId="4" borderId="0" xfId="0" applyFont="1" applyFill="1" applyBorder="1" applyAlignment="1" applyProtection="1">
      <alignment horizontal="left"/>
      <protection hidden="1"/>
    </xf>
    <xf numFmtId="0" fontId="28" fillId="0" borderId="0" xfId="0" applyFont="1" applyAlignment="1" applyProtection="1">
      <alignment horizontal="left"/>
      <protection hidden="1"/>
    </xf>
    <xf numFmtId="0" fontId="77" fillId="4" borderId="0" xfId="0" applyFont="1" applyFill="1"/>
    <xf numFmtId="3" fontId="0" fillId="4" borderId="0" xfId="0" applyNumberFormat="1" applyFont="1" applyFill="1" applyAlignment="1" applyProtection="1">
      <alignment horizontal="left"/>
      <protection hidden="1"/>
    </xf>
    <xf numFmtId="0" fontId="7" fillId="4" borderId="0" xfId="0" applyFont="1" applyFill="1" applyAlignment="1" applyProtection="1">
      <alignment horizontal="left"/>
      <protection hidden="1"/>
    </xf>
    <xf numFmtId="0" fontId="64" fillId="4" borderId="0" xfId="0" applyFont="1" applyFill="1" applyProtection="1">
      <protection hidden="1"/>
    </xf>
    <xf numFmtId="0" fontId="30" fillId="4" borderId="0" xfId="0" applyFont="1" applyFill="1" applyAlignment="1" applyProtection="1">
      <alignment horizontal="left" vertical="top"/>
      <protection hidden="1"/>
    </xf>
    <xf numFmtId="0" fontId="0" fillId="4" borderId="11" xfId="0" applyFill="1" applyBorder="1" applyAlignment="1" applyProtection="1">
      <alignment horizontal="left" vertical="top"/>
      <protection hidden="1"/>
    </xf>
    <xf numFmtId="0" fontId="0" fillId="4" borderId="13" xfId="0" applyFill="1" applyBorder="1" applyAlignment="1" applyProtection="1">
      <alignment horizontal="left" vertical="top"/>
      <protection hidden="1"/>
    </xf>
    <xf numFmtId="0" fontId="0" fillId="4" borderId="14" xfId="0" applyFill="1" applyBorder="1" applyAlignment="1" applyProtection="1">
      <alignment horizontal="left" vertical="top"/>
      <protection hidden="1"/>
    </xf>
    <xf numFmtId="0" fontId="52" fillId="4" borderId="0" xfId="0" applyFont="1" applyFill="1" applyAlignment="1" applyProtection="1">
      <alignment horizontal="left" vertical="center"/>
      <protection hidden="1"/>
    </xf>
    <xf numFmtId="0" fontId="47" fillId="4" borderId="0" xfId="0" applyFont="1" applyFill="1" applyAlignment="1" applyProtection="1">
      <protection hidden="1"/>
    </xf>
    <xf numFmtId="0" fontId="54" fillId="7" borderId="0" xfId="0" applyFont="1" applyFill="1" applyBorder="1" applyAlignment="1" applyProtection="1">
      <alignment horizontal="left" vertical="center"/>
      <protection hidden="1"/>
    </xf>
    <xf numFmtId="2" fontId="0" fillId="3" borderId="1" xfId="0" applyNumberFormat="1" applyFont="1" applyFill="1" applyBorder="1" applyAlignment="1" applyProtection="1">
      <alignment horizontal="center"/>
      <protection hidden="1"/>
    </xf>
    <xf numFmtId="0" fontId="82" fillId="7" borderId="0" xfId="0" applyFont="1" applyFill="1" applyBorder="1" applyAlignment="1" applyProtection="1">
      <alignment horizontal="left" vertical="center" indent="2"/>
      <protection hidden="1"/>
    </xf>
    <xf numFmtId="0" fontId="82" fillId="7" borderId="0" xfId="0" applyFont="1" applyFill="1" applyBorder="1" applyAlignment="1" applyProtection="1">
      <alignment horizontal="left" vertical="center" wrapText="1" indent="2"/>
      <protection hidden="1"/>
    </xf>
    <xf numFmtId="3" fontId="83" fillId="4" borderId="0" xfId="0" applyNumberFormat="1" applyFont="1" applyFill="1" applyProtection="1">
      <protection hidden="1"/>
    </xf>
    <xf numFmtId="0" fontId="83" fillId="4" borderId="0" xfId="0" applyFont="1" applyFill="1" applyProtection="1">
      <protection hidden="1"/>
    </xf>
    <xf numFmtId="0" fontId="10" fillId="7" borderId="0" xfId="0" applyFont="1" applyFill="1" applyProtection="1">
      <protection hidden="1"/>
    </xf>
    <xf numFmtId="0" fontId="10" fillId="0" borderId="0" xfId="0" applyFont="1" applyProtection="1">
      <protection hidden="1"/>
    </xf>
    <xf numFmtId="0" fontId="6" fillId="4" borderId="0" xfId="0" applyFont="1" applyFill="1" applyBorder="1" applyProtection="1">
      <protection hidden="1"/>
    </xf>
    <xf numFmtId="0" fontId="87" fillId="4" borderId="0" xfId="0" applyFont="1" applyFill="1" applyBorder="1" applyAlignment="1" applyProtection="1">
      <alignment horizontal="left"/>
      <protection hidden="1"/>
    </xf>
    <xf numFmtId="0" fontId="88" fillId="4" borderId="0" xfId="0" applyFont="1" applyFill="1" applyBorder="1" applyAlignment="1" applyProtection="1">
      <alignment wrapText="1"/>
      <protection hidden="1"/>
    </xf>
    <xf numFmtId="0" fontId="86" fillId="4" borderId="0" xfId="0" applyFont="1" applyFill="1" applyBorder="1" applyAlignment="1" applyProtection="1">
      <alignment horizontal="left"/>
      <protection hidden="1"/>
    </xf>
    <xf numFmtId="3" fontId="87" fillId="4" borderId="0" xfId="0" applyNumberFormat="1" applyFont="1" applyFill="1" applyBorder="1" applyAlignment="1" applyProtection="1">
      <alignment horizontal="left"/>
      <protection hidden="1"/>
    </xf>
    <xf numFmtId="0" fontId="87" fillId="4" borderId="0" xfId="0" applyFont="1" applyFill="1" applyBorder="1" applyAlignment="1" applyProtection="1">
      <alignment horizontal="right"/>
      <protection hidden="1"/>
    </xf>
    <xf numFmtId="1" fontId="87" fillId="4" borderId="0" xfId="0" applyNumberFormat="1" applyFont="1" applyFill="1" applyBorder="1" applyAlignment="1" applyProtection="1">
      <alignment horizontal="left"/>
      <protection hidden="1"/>
    </xf>
    <xf numFmtId="0" fontId="74" fillId="4" borderId="0" xfId="0" applyFont="1" applyFill="1" applyBorder="1" applyAlignment="1" applyProtection="1">
      <alignment horizontal="left"/>
      <protection hidden="1"/>
    </xf>
    <xf numFmtId="164" fontId="87" fillId="4" borderId="0" xfId="0" applyNumberFormat="1" applyFont="1" applyFill="1" applyBorder="1" applyAlignment="1" applyProtection="1">
      <alignment horizontal="right"/>
      <protection hidden="1"/>
    </xf>
    <xf numFmtId="0" fontId="89" fillId="4" borderId="0" xfId="0" applyFont="1" applyFill="1" applyBorder="1" applyAlignment="1" applyProtection="1">
      <alignment horizontal="left"/>
      <protection hidden="1"/>
    </xf>
    <xf numFmtId="3" fontId="88" fillId="4" borderId="0" xfId="0" applyNumberFormat="1" applyFont="1" applyFill="1" applyBorder="1" applyAlignment="1" applyProtection="1">
      <alignment horizontal="left"/>
      <protection hidden="1"/>
    </xf>
    <xf numFmtId="0" fontId="90" fillId="4" borderId="0" xfId="0" applyFont="1" applyFill="1" applyBorder="1" applyAlignment="1" applyProtection="1">
      <alignment horizontal="left"/>
      <protection hidden="1"/>
    </xf>
    <xf numFmtId="3" fontId="90" fillId="4" borderId="0" xfId="0" applyNumberFormat="1" applyFont="1" applyFill="1" applyBorder="1" applyAlignment="1" applyProtection="1">
      <alignment horizontal="left"/>
      <protection hidden="1"/>
    </xf>
    <xf numFmtId="9" fontId="88" fillId="4" borderId="0" xfId="1" applyFont="1" applyFill="1" applyBorder="1" applyAlignment="1" applyProtection="1">
      <alignment horizontal="left"/>
      <protection hidden="1"/>
    </xf>
    <xf numFmtId="0" fontId="34" fillId="4" borderId="0" xfId="0" applyFont="1" applyFill="1" applyBorder="1" applyAlignment="1" applyProtection="1">
      <alignment horizontal="center"/>
      <protection hidden="1"/>
    </xf>
    <xf numFmtId="0" fontId="6" fillId="4" borderId="0" xfId="0" quotePrefix="1" applyFont="1" applyFill="1" applyBorder="1" applyProtection="1">
      <protection hidden="1"/>
    </xf>
    <xf numFmtId="1" fontId="34" fillId="4" borderId="0" xfId="0" applyNumberFormat="1" applyFont="1" applyFill="1" applyBorder="1" applyProtection="1">
      <protection hidden="1"/>
    </xf>
    <xf numFmtId="164" fontId="34" fillId="4" borderId="0" xfId="0" applyNumberFormat="1" applyFont="1" applyFill="1" applyBorder="1" applyProtection="1">
      <protection hidden="1"/>
    </xf>
    <xf numFmtId="3" fontId="34" fillId="4" borderId="0" xfId="0" applyNumberFormat="1" applyFont="1" applyFill="1" applyBorder="1" applyProtection="1">
      <protection hidden="1"/>
    </xf>
    <xf numFmtId="0" fontId="75" fillId="4" borderId="0" xfId="0" applyFont="1" applyFill="1" applyBorder="1" applyProtection="1">
      <protection hidden="1"/>
    </xf>
    <xf numFmtId="0" fontId="34" fillId="4" borderId="0" xfId="0" quotePrefix="1" applyFont="1" applyFill="1" applyBorder="1" applyProtection="1">
      <protection hidden="1"/>
    </xf>
    <xf numFmtId="2" fontId="34" fillId="4" borderId="0" xfId="0" applyNumberFormat="1" applyFont="1" applyFill="1" applyBorder="1" applyProtection="1">
      <protection hidden="1"/>
    </xf>
    <xf numFmtId="0" fontId="91" fillId="4" borderId="0" xfId="0" applyFont="1" applyFill="1" applyBorder="1" applyProtection="1">
      <protection hidden="1"/>
    </xf>
    <xf numFmtId="166" fontId="34" fillId="4" borderId="0" xfId="0" applyNumberFormat="1" applyFont="1" applyFill="1" applyBorder="1" applyProtection="1">
      <protection hidden="1"/>
    </xf>
    <xf numFmtId="3" fontId="6" fillId="4" borderId="0" xfId="0" applyNumberFormat="1" applyFont="1" applyFill="1" applyBorder="1" applyProtection="1">
      <protection hidden="1"/>
    </xf>
    <xf numFmtId="1" fontId="6" fillId="4" borderId="0" xfId="0" applyNumberFormat="1" applyFont="1" applyFill="1" applyBorder="1" applyProtection="1">
      <protection hidden="1"/>
    </xf>
    <xf numFmtId="3" fontId="34" fillId="4" borderId="0" xfId="0" applyNumberFormat="1" applyFont="1" applyFill="1" applyBorder="1" applyAlignment="1" applyProtection="1">
      <alignment horizontal="center" vertical="top"/>
      <protection hidden="1"/>
    </xf>
    <xf numFmtId="3" fontId="34" fillId="4" borderId="0" xfId="0" applyNumberFormat="1" applyFont="1" applyFill="1" applyAlignment="1" applyProtection="1">
      <alignment horizontal="center" vertical="top"/>
      <protection hidden="1"/>
    </xf>
    <xf numFmtId="0" fontId="68" fillId="4" borderId="0" xfId="0" applyFont="1" applyFill="1" applyBorder="1" applyAlignment="1" applyProtection="1">
      <alignment horizontal="center" vertical="center"/>
      <protection hidden="1"/>
    </xf>
    <xf numFmtId="0" fontId="68" fillId="4" borderId="0" xfId="0" applyFont="1" applyFill="1" applyBorder="1" applyAlignment="1" applyProtection="1">
      <alignment horizontal="left" vertical="center"/>
      <protection hidden="1"/>
    </xf>
    <xf numFmtId="0" fontId="68" fillId="4" borderId="0" xfId="0" applyFont="1" applyFill="1" applyAlignment="1" applyProtection="1">
      <alignment horizontal="left" vertical="center"/>
      <protection hidden="1"/>
    </xf>
    <xf numFmtId="3" fontId="34" fillId="4" borderId="0" xfId="0" applyNumberFormat="1" applyFont="1" applyFill="1" applyBorder="1" applyAlignment="1" applyProtection="1">
      <alignment horizontal="right" vertical="top"/>
      <protection hidden="1"/>
    </xf>
    <xf numFmtId="3" fontId="90" fillId="4" borderId="0" xfId="0" applyNumberFormat="1" applyFont="1" applyFill="1" applyBorder="1" applyAlignment="1" applyProtection="1">
      <alignment horizontal="center" vertical="top"/>
      <protection hidden="1"/>
    </xf>
    <xf numFmtId="3" fontId="6" fillId="4" borderId="0" xfId="0" applyNumberFormat="1" applyFont="1" applyFill="1" applyBorder="1" applyAlignment="1" applyProtection="1">
      <alignment horizontal="center" vertical="top"/>
      <protection hidden="1"/>
    </xf>
    <xf numFmtId="3" fontId="34" fillId="0" borderId="0" xfId="0" applyNumberFormat="1" applyFont="1" applyAlignment="1" applyProtection="1">
      <alignment horizontal="center" vertical="top"/>
      <protection hidden="1"/>
    </xf>
    <xf numFmtId="2" fontId="3" fillId="4" borderId="0" xfId="0" applyNumberFormat="1" applyFont="1" applyFill="1" applyAlignment="1" applyProtection="1">
      <alignment horizontal="center"/>
      <protection hidden="1"/>
    </xf>
    <xf numFmtId="0" fontId="21" fillId="6" borderId="3" xfId="0" applyFont="1" applyFill="1" applyBorder="1" applyAlignment="1" applyProtection="1">
      <alignment horizontal="left" vertical="top"/>
      <protection hidden="1"/>
    </xf>
    <xf numFmtId="0" fontId="0" fillId="0" borderId="8" xfId="0" applyBorder="1" applyAlignment="1" applyProtection="1">
      <alignment horizontal="left" vertical="top"/>
      <protection hidden="1"/>
    </xf>
    <xf numFmtId="0" fontId="0" fillId="0" borderId="15" xfId="0" applyBorder="1" applyAlignment="1" applyProtection="1">
      <alignment horizontal="left" vertical="top"/>
      <protection hidden="1"/>
    </xf>
    <xf numFmtId="0" fontId="53" fillId="8" borderId="0" xfId="0" applyFont="1" applyFill="1" applyAlignment="1" applyProtection="1">
      <alignment horizontal="left" vertical="center" wrapText="1"/>
      <protection hidden="1"/>
    </xf>
    <xf numFmtId="0" fontId="53" fillId="8" borderId="0" xfId="0" applyFont="1" applyFill="1" applyAlignment="1" applyProtection="1">
      <alignment horizontal="left" vertical="center"/>
      <protection hidden="1"/>
    </xf>
  </cellXfs>
  <cellStyles count="4">
    <cellStyle name="Huomautus" xfId="2" builtinId="10"/>
    <cellStyle name="Hyperlinkki" xfId="3" builtinId="8"/>
    <cellStyle name="Normaali" xfId="0" builtinId="0"/>
    <cellStyle name="Prosenttia"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microsoft.com/office/2023/09/relationships/Python" Target="pyth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10.xml><?xml version="1.0" encoding="utf-8"?>
<ax:ocx xmlns:ax="http://schemas.microsoft.com/office/2006/activeX" xmlns:r="http://schemas.openxmlformats.org/officeDocument/2006/relationships" ax:classid="{5512D11A-5CC6-11CF-8D67-00AA00BDCE1D}" ax:persistence="persistStream" r:id="rId1"/>
</file>

<file path=xl/activeX/activeX11.xml><?xml version="1.0" encoding="utf-8"?>
<ax:ocx xmlns:ax="http://schemas.microsoft.com/office/2006/activeX" xmlns:r="http://schemas.openxmlformats.org/officeDocument/2006/relationships" ax:classid="{5512D11A-5CC6-11CF-8D67-00AA00BDCE1D}" ax:persistence="persistStream" r:id="rId1"/>
</file>

<file path=xl/activeX/activeX12.xml><?xml version="1.0" encoding="utf-8"?>
<ax:ocx xmlns:ax="http://schemas.microsoft.com/office/2006/activeX" xmlns:r="http://schemas.openxmlformats.org/officeDocument/2006/relationships" ax:classid="{5512D11A-5CC6-11CF-8D67-00AA00BDCE1D}" ax:persistence="persistStream" r:id="rId1"/>
</file>

<file path=xl/activeX/activeX13.xml><?xml version="1.0" encoding="utf-8"?>
<ax:ocx xmlns:ax="http://schemas.microsoft.com/office/2006/activeX" xmlns:r="http://schemas.openxmlformats.org/officeDocument/2006/relationships" ax:classid="{5512D11A-5CC6-11CF-8D67-00AA00BDCE1D}" ax:persistence="persistStream" r:id="rId1"/>
</file>

<file path=xl/activeX/activeX14.xml><?xml version="1.0" encoding="utf-8"?>
<ax:ocx xmlns:ax="http://schemas.microsoft.com/office/2006/activeX" xmlns:r="http://schemas.openxmlformats.org/officeDocument/2006/relationships" ax:classid="{5512D11A-5CC6-11CF-8D67-00AA00BDCE1D}" ax:persistence="persistStream" r:id="rId1"/>
</file>

<file path=xl/activeX/activeX15.xml><?xml version="1.0" encoding="utf-8"?>
<ax:ocx xmlns:ax="http://schemas.microsoft.com/office/2006/activeX" xmlns:r="http://schemas.openxmlformats.org/officeDocument/2006/relationships" ax:classid="{5512D11A-5CC6-11CF-8D67-00AA00BDCE1D}" ax:persistence="persistStream" r:id="rId1"/>
</file>

<file path=xl/activeX/activeX16.xml><?xml version="1.0" encoding="utf-8"?>
<ax:ocx xmlns:ax="http://schemas.microsoft.com/office/2006/activeX" xmlns:r="http://schemas.openxmlformats.org/officeDocument/2006/relationships" ax:classid="{5512D11A-5CC6-11CF-8D67-00AA00BDCE1D}" ax:persistence="persistStream" r:id="rId1"/>
</file>

<file path=xl/activeX/activeX17.xml><?xml version="1.0" encoding="utf-8"?>
<ax:ocx xmlns:ax="http://schemas.microsoft.com/office/2006/activeX" xmlns:r="http://schemas.openxmlformats.org/officeDocument/2006/relationships" ax:classid="{5512D11A-5CC6-11CF-8D67-00AA00BDCE1D}" ax:persistence="persistStream" r:id="rId1"/>
</file>

<file path=xl/activeX/activeX18.xml><?xml version="1.0" encoding="utf-8"?>
<ax:ocx xmlns:ax="http://schemas.microsoft.com/office/2006/activeX" xmlns:r="http://schemas.openxmlformats.org/officeDocument/2006/relationships" ax:classid="{5512D11A-5CC6-11CF-8D67-00AA00BDCE1D}" ax:persistence="persistStream" r:id="rId1"/>
</file>

<file path=xl/activeX/activeX19.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20.xml><?xml version="1.0" encoding="utf-8"?>
<ax:ocx xmlns:ax="http://schemas.microsoft.com/office/2006/activeX" xmlns:r="http://schemas.openxmlformats.org/officeDocument/2006/relationships" ax:classid="{5512D11A-5CC6-11CF-8D67-00AA00BDCE1D}" ax:persistence="persistStream" r:id="rId1"/>
</file>

<file path=xl/activeX/activeX21.xml><?xml version="1.0" encoding="utf-8"?>
<ax:ocx xmlns:ax="http://schemas.microsoft.com/office/2006/activeX" xmlns:r="http://schemas.openxmlformats.org/officeDocument/2006/relationships" ax:classid="{5512D11A-5CC6-11CF-8D67-00AA00BDCE1D}" ax:persistence="persistStream" r:id="rId1"/>
</file>

<file path=xl/activeX/activeX22.xml><?xml version="1.0" encoding="utf-8"?>
<ax:ocx xmlns:ax="http://schemas.microsoft.com/office/2006/activeX" xmlns:r="http://schemas.openxmlformats.org/officeDocument/2006/relationships" ax:classid="{5512D11A-5CC6-11CF-8D67-00AA00BDCE1D}" ax:persistence="persistStream" r:id="rId1"/>
</file>

<file path=xl/activeX/activeX23.xml><?xml version="1.0" encoding="utf-8"?>
<ax:ocx xmlns:ax="http://schemas.microsoft.com/office/2006/activeX" xmlns:r="http://schemas.openxmlformats.org/officeDocument/2006/relationships" ax:classid="{5512D11A-5CC6-11CF-8D67-00AA00BDCE1D}" ax:persistence="persistStream" r:id="rId1"/>
</file>

<file path=xl/activeX/activeX24.xml><?xml version="1.0" encoding="utf-8"?>
<ax:ocx xmlns:ax="http://schemas.microsoft.com/office/2006/activeX" xmlns:r="http://schemas.openxmlformats.org/officeDocument/2006/relationships" ax:classid="{5512D11A-5CC6-11CF-8D67-00AA00BDCE1D}" ax:persistence="persistStream" r:id="rId1"/>
</file>

<file path=xl/activeX/activeX25.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A-5CC6-11CF-8D67-00AA00BDCE1D}" ax:persistence="persistStream" r:id="rId1"/>
</file>

<file path=xl/activeX/activeX4.xml><?xml version="1.0" encoding="utf-8"?>
<ax:ocx xmlns:ax="http://schemas.microsoft.com/office/2006/activeX" xmlns:r="http://schemas.openxmlformats.org/officeDocument/2006/relationships" ax:classid="{5512D11A-5CC6-11CF-8D67-00AA00BDCE1D}" ax:persistence="persistStream" r:id="rId1"/>
</file>

<file path=xl/activeX/activeX5.xml><?xml version="1.0" encoding="utf-8"?>
<ax:ocx xmlns:ax="http://schemas.microsoft.com/office/2006/activeX" xmlns:r="http://schemas.openxmlformats.org/officeDocument/2006/relationships" ax:classid="{5512D11A-5CC6-11CF-8D67-00AA00BDCE1D}" ax:persistence="persistStream" r:id="rId1"/>
</file>

<file path=xl/activeX/activeX6.xml><?xml version="1.0" encoding="utf-8"?>
<ax:ocx xmlns:ax="http://schemas.microsoft.com/office/2006/activeX" xmlns:r="http://schemas.openxmlformats.org/officeDocument/2006/relationships" ax:classid="{5512D11A-5CC6-11CF-8D67-00AA00BDCE1D}" ax:persistence="persistStream" r:id="rId1"/>
</file>

<file path=xl/activeX/activeX7.xml><?xml version="1.0" encoding="utf-8"?>
<ax:ocx xmlns:ax="http://schemas.microsoft.com/office/2006/activeX" xmlns:r="http://schemas.openxmlformats.org/officeDocument/2006/relationships" ax:classid="{5512D11A-5CC6-11CF-8D67-00AA00BDCE1D}" ax:persistence="persistStream" r:id="rId1"/>
</file>

<file path=xl/activeX/activeX8.xml><?xml version="1.0" encoding="utf-8"?>
<ax:ocx xmlns:ax="http://schemas.microsoft.com/office/2006/activeX" xmlns:r="http://schemas.openxmlformats.org/officeDocument/2006/relationships" ax:classid="{5512D11A-5CC6-11CF-8D67-00AA00BDCE1D}" ax:persistence="persistStream" r:id="rId1"/>
</file>

<file path=xl/activeX/activeX9.xml><?xml version="1.0" encoding="utf-8"?>
<ax:ocx xmlns:ax="http://schemas.microsoft.com/office/2006/activeX" xmlns:r="http://schemas.openxmlformats.org/officeDocument/2006/relationships" ax:classid="{5512D11A-5CC6-11CF-8D67-00AA00BDCE1D}" ax:persistence="persistStream" r:id="rI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11</xdr:col>
      <xdr:colOff>533400</xdr:colOff>
      <xdr:row>37</xdr:row>
      <xdr:rowOff>121033</xdr:rowOff>
    </xdr:from>
    <xdr:to>
      <xdr:col>14</xdr:col>
      <xdr:colOff>70896</xdr:colOff>
      <xdr:row>39</xdr:row>
      <xdr:rowOff>53341</xdr:rowOff>
    </xdr:to>
    <xdr:pic>
      <xdr:nvPicPr>
        <xdr:cNvPr id="5" name="Kuva 4">
          <a:extLst>
            <a:ext uri="{FF2B5EF4-FFF2-40B4-BE49-F238E27FC236}">
              <a16:creationId xmlns:a16="http://schemas.microsoft.com/office/drawing/2014/main" id="{D7BC55A4-39AB-D854-A778-DF8A44677C2F}"/>
            </a:ext>
          </a:extLst>
        </xdr:cNvPr>
        <xdr:cNvPicPr>
          <a:picLocks noChangeAspect="1"/>
        </xdr:cNvPicPr>
      </xdr:nvPicPr>
      <xdr:blipFill rotWithShape="1">
        <a:blip xmlns:r="http://schemas.openxmlformats.org/officeDocument/2006/relationships" r:embed="rId1"/>
        <a:srcRect l="33419" b="6080"/>
        <a:stretch>
          <a:fillRect/>
        </a:stretch>
      </xdr:blipFill>
      <xdr:spPr>
        <a:xfrm>
          <a:off x="7444740" y="8038213"/>
          <a:ext cx="1366296" cy="442848"/>
        </a:xfrm>
        <a:prstGeom prst="rect">
          <a:avLst/>
        </a:prstGeom>
      </xdr:spPr>
    </xdr:pic>
    <xdr:clientData/>
  </xdr:twoCellAnchor>
  <xdr:twoCellAnchor editAs="oneCell">
    <xdr:from>
      <xdr:col>15</xdr:col>
      <xdr:colOff>586740</xdr:colOff>
      <xdr:row>35</xdr:row>
      <xdr:rowOff>7620</xdr:rowOff>
    </xdr:from>
    <xdr:to>
      <xdr:col>18</xdr:col>
      <xdr:colOff>434574</xdr:colOff>
      <xdr:row>40</xdr:row>
      <xdr:rowOff>99241</xdr:rowOff>
    </xdr:to>
    <xdr:pic>
      <xdr:nvPicPr>
        <xdr:cNvPr id="6" name="Kuva 5">
          <a:extLst>
            <a:ext uri="{FF2B5EF4-FFF2-40B4-BE49-F238E27FC236}">
              <a16:creationId xmlns:a16="http://schemas.microsoft.com/office/drawing/2014/main" id="{0AB4FE27-9F0C-9F39-806B-72FF9D313E26}"/>
            </a:ext>
          </a:extLst>
        </xdr:cNvPr>
        <xdr:cNvPicPr>
          <a:picLocks noChangeAspect="1"/>
        </xdr:cNvPicPr>
      </xdr:nvPicPr>
      <xdr:blipFill>
        <a:blip xmlns:r="http://schemas.openxmlformats.org/officeDocument/2006/relationships" r:embed="rId2"/>
        <a:stretch>
          <a:fillRect/>
        </a:stretch>
      </xdr:blipFill>
      <xdr:spPr>
        <a:xfrm>
          <a:off x="9936480" y="7414260"/>
          <a:ext cx="1676634" cy="1295581"/>
        </a:xfrm>
        <a:prstGeom prst="rect">
          <a:avLst/>
        </a:prstGeom>
      </xdr:spPr>
    </xdr:pic>
    <xdr:clientData/>
  </xdr:twoCellAnchor>
  <xdr:twoCellAnchor>
    <xdr:from>
      <xdr:col>0</xdr:col>
      <xdr:colOff>91440</xdr:colOff>
      <xdr:row>1</xdr:row>
      <xdr:rowOff>91440</xdr:rowOff>
    </xdr:from>
    <xdr:to>
      <xdr:col>12</xdr:col>
      <xdr:colOff>457200</xdr:colOff>
      <xdr:row>24</xdr:row>
      <xdr:rowOff>76200</xdr:rowOff>
    </xdr:to>
    <xdr:sp macro="" textlink="">
      <xdr:nvSpPr>
        <xdr:cNvPr id="7" name="Tekstiruutu 6">
          <a:extLst>
            <a:ext uri="{FF2B5EF4-FFF2-40B4-BE49-F238E27FC236}">
              <a16:creationId xmlns:a16="http://schemas.microsoft.com/office/drawing/2014/main" id="{6A37B725-F966-9CCA-C06F-8D4917C5EE82}"/>
            </a:ext>
          </a:extLst>
        </xdr:cNvPr>
        <xdr:cNvSpPr txBox="1"/>
      </xdr:nvSpPr>
      <xdr:spPr>
        <a:xfrm>
          <a:off x="91440" y="274320"/>
          <a:ext cx="7886700" cy="4191000"/>
        </a:xfrm>
        <a:prstGeom prst="rect">
          <a:avLst/>
        </a:prstGeom>
        <a:solidFill>
          <a:schemeClr val="lt1"/>
        </a:solidFill>
        <a:ln w="381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b="1" kern="1200"/>
            <a:t>General information about the Biogas Tool</a:t>
          </a:r>
        </a:p>
        <a:p>
          <a:endParaRPr lang="fi-FI" sz="1200" b="1" kern="1200"/>
        </a:p>
        <a:p>
          <a:r>
            <a:rPr lang="fi-FI" sz="1200" b="1" kern="1200"/>
            <a:t>Biogas Tool </a:t>
          </a:r>
          <a:r>
            <a:rPr lang="fi-FI" sz="1200" kern="1200"/>
            <a:t>is a planning tool meant for biogas production where the maximal amount of feedstocks is 15 000 t per year. With the Biogas tool, it is possible to estimate the methane production from different feed materials, compare the profitability of different forms of energy production and utilization, estimate the nutrient concentration of digestate as well as estimate the size of the biogas plant investment and its profitability. The Biogas tool is freely available and was developed under the HANDIHEAT project co-funded by the European Regional Development Fund (ERDF) through the Northern Periphery and Arctic Programme 2014–2020, the Ministry of Economic Affairs and Employment and the Natural Resources Institute Finland (Luke).</a:t>
          </a:r>
        </a:p>
        <a:p>
          <a:endParaRPr lang="fi-FI" sz="1200" kern="1200"/>
        </a:p>
        <a:p>
          <a:r>
            <a:rPr lang="fi-FI" sz="1200" kern="1200"/>
            <a:t>The tool´s results are based on the user's input values and the selection of provided alternatives. The tool will guide the user step-by-step through the nine stages. The Biogas tool uses pre-set estimation values based on research knowledge for different feed material and the efficiency of the process. However, it is possible to change or adjust the pre-set values by clicking  buttons.</a:t>
          </a:r>
        </a:p>
        <a:p>
          <a:endParaRPr lang="fi-FI" sz="1200" kern="1200"/>
        </a:p>
        <a:p>
          <a:r>
            <a:rPr lang="fi-FI" sz="1200" b="1" kern="1200"/>
            <a:t>Disclaimer</a:t>
          </a:r>
        </a:p>
        <a:p>
          <a:endParaRPr lang="fi-FI" sz="1100" kern="1200"/>
        </a:p>
        <a:p>
          <a:r>
            <a:rPr lang="fi-FI" sz="1100" kern="1200"/>
            <a:t>The Biogas Tool is designed as a supporting tool, e.g. to estimate an initial profitability of a potential biogas plant investment. Please note that the planning tool uses average values and the provided results are only estimations. Yield, expenses and investment costs are always case specific. An actual investment shall always be placed building on exact calculations. The designers of the tool, the Natural Resources Institute Finland (Luke) and Ukipolis, are not responsible for the validity of the calculations, possible mistakes in the planning tool, or direct and indirect damages caused by the calculations.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220980</xdr:colOff>
      <xdr:row>40</xdr:row>
      <xdr:rowOff>76200</xdr:rowOff>
    </xdr:from>
    <xdr:to>
      <xdr:col>9</xdr:col>
      <xdr:colOff>502920</xdr:colOff>
      <xdr:row>46</xdr:row>
      <xdr:rowOff>0</xdr:rowOff>
    </xdr:to>
    <xdr:sp macro="" textlink="">
      <xdr:nvSpPr>
        <xdr:cNvPr id="9" name="Tekstiruutu 8">
          <a:extLst>
            <a:ext uri="{FF2B5EF4-FFF2-40B4-BE49-F238E27FC236}">
              <a16:creationId xmlns:a16="http://schemas.microsoft.com/office/drawing/2014/main" id="{75CCD66C-2F2F-A832-A1DC-2C72B77A6B8D}"/>
            </a:ext>
          </a:extLst>
        </xdr:cNvPr>
        <xdr:cNvSpPr txBox="1"/>
      </xdr:nvSpPr>
      <xdr:spPr>
        <a:xfrm>
          <a:off x="5486400" y="7680960"/>
          <a:ext cx="3467100" cy="1021080"/>
        </a:xfrm>
        <a:prstGeom prst="rect">
          <a:avLst/>
        </a:prstGeom>
        <a:solidFill>
          <a:schemeClr val="lt1"/>
        </a:solidFill>
        <a:ln w="28575"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t"/>
          <a:r>
            <a:rPr lang="fi-FI" sz="1100" b="0" i="0">
              <a:solidFill>
                <a:schemeClr val="dk1"/>
              </a:solidFill>
              <a:effectLst/>
              <a:latin typeface="+mn-lt"/>
              <a:ea typeface="+mn-ea"/>
              <a:cs typeface="+mn-cs"/>
            </a:rPr>
            <a:t>If the value is negative, meaning that the biogas plant’s electricity and/or heat consumption exceeds production, the required energy must be procured from outside the plant (purchase or other type of own production). This will be shown as a cost on the “7. Revenues and costs” tab.</a:t>
          </a:r>
        </a:p>
      </xdr:txBody>
    </xdr:sp>
    <xdr:clientData/>
  </xdr:twoCellAnchor>
  <xdr:twoCellAnchor>
    <xdr:from>
      <xdr:col>5</xdr:col>
      <xdr:colOff>556260</xdr:colOff>
      <xdr:row>35</xdr:row>
      <xdr:rowOff>99060</xdr:rowOff>
    </xdr:from>
    <xdr:to>
      <xdr:col>6</xdr:col>
      <xdr:colOff>598170</xdr:colOff>
      <xdr:row>40</xdr:row>
      <xdr:rowOff>76200</xdr:rowOff>
    </xdr:to>
    <xdr:cxnSp macro="">
      <xdr:nvCxnSpPr>
        <xdr:cNvPr id="11" name="Suora nuoliyhdysviiva 10">
          <a:extLst>
            <a:ext uri="{FF2B5EF4-FFF2-40B4-BE49-F238E27FC236}">
              <a16:creationId xmlns:a16="http://schemas.microsoft.com/office/drawing/2014/main" id="{03223820-E71E-FABC-E107-22D8CB47FA3F}"/>
            </a:ext>
          </a:extLst>
        </xdr:cNvPr>
        <xdr:cNvCxnSpPr>
          <a:stCxn id="9" idx="0"/>
        </xdr:cNvCxnSpPr>
      </xdr:nvCxnSpPr>
      <xdr:spPr>
        <a:xfrm flipH="1" flipV="1">
          <a:off x="6568440" y="6819900"/>
          <a:ext cx="651510" cy="861060"/>
        </a:xfrm>
        <a:prstGeom prst="straightConnector1">
          <a:avLst/>
        </a:prstGeom>
        <a:ln>
          <a:prstDash val="sysDash"/>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84</xdr:row>
          <xdr:rowOff>0</xdr:rowOff>
        </xdr:from>
        <xdr:to>
          <xdr:col>3</xdr:col>
          <xdr:colOff>304800</xdr:colOff>
          <xdr:row>85</xdr:row>
          <xdr:rowOff>45720</xdr:rowOff>
        </xdr:to>
        <xdr:sp macro="" textlink="">
          <xdr:nvSpPr>
            <xdr:cNvPr id="11265" name="Control 1" hidden="1">
              <a:extLst>
                <a:ext uri="{63B3BB69-23CF-44E3-9099-C40C66FF867C}">
                  <a14:compatExt spid="_x0000_s11265"/>
                </a:ext>
                <a:ext uri="{FF2B5EF4-FFF2-40B4-BE49-F238E27FC236}">
                  <a16:creationId xmlns:a16="http://schemas.microsoft.com/office/drawing/2014/main" id="{00000000-0008-0000-0700-000001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5</xdr:col>
          <xdr:colOff>304800</xdr:colOff>
          <xdr:row>85</xdr:row>
          <xdr:rowOff>45720</xdr:rowOff>
        </xdr:to>
        <xdr:sp macro="" textlink="">
          <xdr:nvSpPr>
            <xdr:cNvPr id="11266" name="Control 2" hidden="1">
              <a:extLst>
                <a:ext uri="{63B3BB69-23CF-44E3-9099-C40C66FF867C}">
                  <a14:compatExt spid="_x0000_s11266"/>
                </a:ext>
                <a:ext uri="{FF2B5EF4-FFF2-40B4-BE49-F238E27FC236}">
                  <a16:creationId xmlns:a16="http://schemas.microsoft.com/office/drawing/2014/main" id="{00000000-0008-0000-0700-000002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84</xdr:row>
          <xdr:rowOff>0</xdr:rowOff>
        </xdr:from>
        <xdr:to>
          <xdr:col>3</xdr:col>
          <xdr:colOff>304800</xdr:colOff>
          <xdr:row>85</xdr:row>
          <xdr:rowOff>45720</xdr:rowOff>
        </xdr:to>
        <xdr:sp macro="" textlink="">
          <xdr:nvSpPr>
            <xdr:cNvPr id="11267" name="Control 3" hidden="1">
              <a:extLst>
                <a:ext uri="{63B3BB69-23CF-44E3-9099-C40C66FF867C}">
                  <a14:compatExt spid="_x0000_s11267"/>
                </a:ext>
                <a:ext uri="{FF2B5EF4-FFF2-40B4-BE49-F238E27FC236}">
                  <a16:creationId xmlns:a16="http://schemas.microsoft.com/office/drawing/2014/main" id="{00000000-0008-0000-0700-000003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5</xdr:col>
          <xdr:colOff>304800</xdr:colOff>
          <xdr:row>85</xdr:row>
          <xdr:rowOff>45720</xdr:rowOff>
        </xdr:to>
        <xdr:sp macro="" textlink="">
          <xdr:nvSpPr>
            <xdr:cNvPr id="11268" name="Control 4" hidden="1">
              <a:extLst>
                <a:ext uri="{63B3BB69-23CF-44E3-9099-C40C66FF867C}">
                  <a14:compatExt spid="_x0000_s11268"/>
                </a:ext>
                <a:ext uri="{FF2B5EF4-FFF2-40B4-BE49-F238E27FC236}">
                  <a16:creationId xmlns:a16="http://schemas.microsoft.com/office/drawing/2014/main" id="{00000000-0008-0000-0700-000004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84</xdr:row>
          <xdr:rowOff>0</xdr:rowOff>
        </xdr:from>
        <xdr:to>
          <xdr:col>3</xdr:col>
          <xdr:colOff>304800</xdr:colOff>
          <xdr:row>85</xdr:row>
          <xdr:rowOff>45720</xdr:rowOff>
        </xdr:to>
        <xdr:sp macro="" textlink="">
          <xdr:nvSpPr>
            <xdr:cNvPr id="11269" name="Control 5" hidden="1">
              <a:extLst>
                <a:ext uri="{63B3BB69-23CF-44E3-9099-C40C66FF867C}">
                  <a14:compatExt spid="_x0000_s11269"/>
                </a:ext>
                <a:ext uri="{FF2B5EF4-FFF2-40B4-BE49-F238E27FC236}">
                  <a16:creationId xmlns:a16="http://schemas.microsoft.com/office/drawing/2014/main" id="{00000000-0008-0000-0700-000005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5</xdr:col>
          <xdr:colOff>304800</xdr:colOff>
          <xdr:row>85</xdr:row>
          <xdr:rowOff>45720</xdr:rowOff>
        </xdr:to>
        <xdr:sp macro="" textlink="">
          <xdr:nvSpPr>
            <xdr:cNvPr id="11270" name="Control 6" hidden="1">
              <a:extLst>
                <a:ext uri="{63B3BB69-23CF-44E3-9099-C40C66FF867C}">
                  <a14:compatExt spid="_x0000_s11270"/>
                </a:ext>
                <a:ext uri="{FF2B5EF4-FFF2-40B4-BE49-F238E27FC236}">
                  <a16:creationId xmlns:a16="http://schemas.microsoft.com/office/drawing/2014/main" id="{00000000-0008-0000-0700-000006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84</xdr:row>
          <xdr:rowOff>0</xdr:rowOff>
        </xdr:from>
        <xdr:to>
          <xdr:col>3</xdr:col>
          <xdr:colOff>304800</xdr:colOff>
          <xdr:row>85</xdr:row>
          <xdr:rowOff>45720</xdr:rowOff>
        </xdr:to>
        <xdr:sp macro="" textlink="">
          <xdr:nvSpPr>
            <xdr:cNvPr id="11271" name="Control 7" hidden="1">
              <a:extLst>
                <a:ext uri="{63B3BB69-23CF-44E3-9099-C40C66FF867C}">
                  <a14:compatExt spid="_x0000_s11271"/>
                </a:ext>
                <a:ext uri="{FF2B5EF4-FFF2-40B4-BE49-F238E27FC236}">
                  <a16:creationId xmlns:a16="http://schemas.microsoft.com/office/drawing/2014/main" id="{00000000-0008-0000-0700-000007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5</xdr:col>
          <xdr:colOff>304800</xdr:colOff>
          <xdr:row>85</xdr:row>
          <xdr:rowOff>45720</xdr:rowOff>
        </xdr:to>
        <xdr:sp macro="" textlink="">
          <xdr:nvSpPr>
            <xdr:cNvPr id="11272" name="Control 8" hidden="1">
              <a:extLst>
                <a:ext uri="{63B3BB69-23CF-44E3-9099-C40C66FF867C}">
                  <a14:compatExt spid="_x0000_s11272"/>
                </a:ext>
                <a:ext uri="{FF2B5EF4-FFF2-40B4-BE49-F238E27FC236}">
                  <a16:creationId xmlns:a16="http://schemas.microsoft.com/office/drawing/2014/main" id="{00000000-0008-0000-0700-000008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84</xdr:row>
          <xdr:rowOff>0</xdr:rowOff>
        </xdr:from>
        <xdr:to>
          <xdr:col>3</xdr:col>
          <xdr:colOff>304800</xdr:colOff>
          <xdr:row>85</xdr:row>
          <xdr:rowOff>45720</xdr:rowOff>
        </xdr:to>
        <xdr:sp macro="" textlink="">
          <xdr:nvSpPr>
            <xdr:cNvPr id="11273" name="Control 9" hidden="1">
              <a:extLst>
                <a:ext uri="{63B3BB69-23CF-44E3-9099-C40C66FF867C}">
                  <a14:compatExt spid="_x0000_s11273"/>
                </a:ext>
                <a:ext uri="{FF2B5EF4-FFF2-40B4-BE49-F238E27FC236}">
                  <a16:creationId xmlns:a16="http://schemas.microsoft.com/office/drawing/2014/main" id="{00000000-0008-0000-0700-000009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5</xdr:col>
          <xdr:colOff>304800</xdr:colOff>
          <xdr:row>85</xdr:row>
          <xdr:rowOff>45720</xdr:rowOff>
        </xdr:to>
        <xdr:sp macro="" textlink="">
          <xdr:nvSpPr>
            <xdr:cNvPr id="11274" name="Control 10" hidden="1">
              <a:extLst>
                <a:ext uri="{63B3BB69-23CF-44E3-9099-C40C66FF867C}">
                  <a14:compatExt spid="_x0000_s11274"/>
                </a:ext>
                <a:ext uri="{FF2B5EF4-FFF2-40B4-BE49-F238E27FC236}">
                  <a16:creationId xmlns:a16="http://schemas.microsoft.com/office/drawing/2014/main" id="{00000000-0008-0000-0700-00000A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5</xdr:col>
          <xdr:colOff>304800</xdr:colOff>
          <xdr:row>85</xdr:row>
          <xdr:rowOff>45720</xdr:rowOff>
        </xdr:to>
        <xdr:sp macro="" textlink="">
          <xdr:nvSpPr>
            <xdr:cNvPr id="11275" name="Control 11" hidden="1">
              <a:extLst>
                <a:ext uri="{63B3BB69-23CF-44E3-9099-C40C66FF867C}">
                  <a14:compatExt spid="_x0000_s11275"/>
                </a:ext>
                <a:ext uri="{FF2B5EF4-FFF2-40B4-BE49-F238E27FC236}">
                  <a16:creationId xmlns:a16="http://schemas.microsoft.com/office/drawing/2014/main" id="{00000000-0008-0000-0700-00000B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5</xdr:col>
          <xdr:colOff>304800</xdr:colOff>
          <xdr:row>85</xdr:row>
          <xdr:rowOff>45720</xdr:rowOff>
        </xdr:to>
        <xdr:sp macro="" textlink="">
          <xdr:nvSpPr>
            <xdr:cNvPr id="11276" name="Control 12" hidden="1">
              <a:extLst>
                <a:ext uri="{63B3BB69-23CF-44E3-9099-C40C66FF867C}">
                  <a14:compatExt spid="_x0000_s11276"/>
                </a:ext>
                <a:ext uri="{FF2B5EF4-FFF2-40B4-BE49-F238E27FC236}">
                  <a16:creationId xmlns:a16="http://schemas.microsoft.com/office/drawing/2014/main" id="{00000000-0008-0000-0700-00000C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5</xdr:col>
          <xdr:colOff>304800</xdr:colOff>
          <xdr:row>85</xdr:row>
          <xdr:rowOff>45720</xdr:rowOff>
        </xdr:to>
        <xdr:sp macro="" textlink="">
          <xdr:nvSpPr>
            <xdr:cNvPr id="11277" name="Control 13" hidden="1">
              <a:extLst>
                <a:ext uri="{63B3BB69-23CF-44E3-9099-C40C66FF867C}">
                  <a14:compatExt spid="_x0000_s11277"/>
                </a:ext>
                <a:ext uri="{FF2B5EF4-FFF2-40B4-BE49-F238E27FC236}">
                  <a16:creationId xmlns:a16="http://schemas.microsoft.com/office/drawing/2014/main" id="{00000000-0008-0000-0700-00000D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84</xdr:row>
          <xdr:rowOff>0</xdr:rowOff>
        </xdr:from>
        <xdr:to>
          <xdr:col>7</xdr:col>
          <xdr:colOff>236220</xdr:colOff>
          <xdr:row>85</xdr:row>
          <xdr:rowOff>45720</xdr:rowOff>
        </xdr:to>
        <xdr:sp macro="" textlink="">
          <xdr:nvSpPr>
            <xdr:cNvPr id="11278" name="Control 14" hidden="1">
              <a:extLst>
                <a:ext uri="{63B3BB69-23CF-44E3-9099-C40C66FF867C}">
                  <a14:compatExt spid="_x0000_s11278"/>
                </a:ext>
                <a:ext uri="{FF2B5EF4-FFF2-40B4-BE49-F238E27FC236}">
                  <a16:creationId xmlns:a16="http://schemas.microsoft.com/office/drawing/2014/main" id="{00000000-0008-0000-0700-00000E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5</xdr:col>
          <xdr:colOff>304800</xdr:colOff>
          <xdr:row>85</xdr:row>
          <xdr:rowOff>45720</xdr:rowOff>
        </xdr:to>
        <xdr:sp macro="" textlink="">
          <xdr:nvSpPr>
            <xdr:cNvPr id="11279" name="Control 15" hidden="1">
              <a:extLst>
                <a:ext uri="{63B3BB69-23CF-44E3-9099-C40C66FF867C}">
                  <a14:compatExt spid="_x0000_s11279"/>
                </a:ext>
                <a:ext uri="{FF2B5EF4-FFF2-40B4-BE49-F238E27FC236}">
                  <a16:creationId xmlns:a16="http://schemas.microsoft.com/office/drawing/2014/main" id="{00000000-0008-0000-0700-00000F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84</xdr:row>
          <xdr:rowOff>0</xdr:rowOff>
        </xdr:from>
        <xdr:to>
          <xdr:col>7</xdr:col>
          <xdr:colOff>236220</xdr:colOff>
          <xdr:row>85</xdr:row>
          <xdr:rowOff>45720</xdr:rowOff>
        </xdr:to>
        <xdr:sp macro="" textlink="">
          <xdr:nvSpPr>
            <xdr:cNvPr id="11280" name="Control 16" hidden="1">
              <a:extLst>
                <a:ext uri="{63B3BB69-23CF-44E3-9099-C40C66FF867C}">
                  <a14:compatExt spid="_x0000_s11280"/>
                </a:ext>
                <a:ext uri="{FF2B5EF4-FFF2-40B4-BE49-F238E27FC236}">
                  <a16:creationId xmlns:a16="http://schemas.microsoft.com/office/drawing/2014/main" id="{00000000-0008-0000-0700-000010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84</xdr:row>
          <xdr:rowOff>0</xdr:rowOff>
        </xdr:from>
        <xdr:to>
          <xdr:col>7</xdr:col>
          <xdr:colOff>236220</xdr:colOff>
          <xdr:row>85</xdr:row>
          <xdr:rowOff>45720</xdr:rowOff>
        </xdr:to>
        <xdr:sp macro="" textlink="">
          <xdr:nvSpPr>
            <xdr:cNvPr id="11281" name="Control 17" hidden="1">
              <a:extLst>
                <a:ext uri="{63B3BB69-23CF-44E3-9099-C40C66FF867C}">
                  <a14:compatExt spid="_x0000_s11281"/>
                </a:ext>
                <a:ext uri="{FF2B5EF4-FFF2-40B4-BE49-F238E27FC236}">
                  <a16:creationId xmlns:a16="http://schemas.microsoft.com/office/drawing/2014/main" id="{00000000-0008-0000-0700-000011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84</xdr:row>
          <xdr:rowOff>0</xdr:rowOff>
        </xdr:from>
        <xdr:to>
          <xdr:col>7</xdr:col>
          <xdr:colOff>236220</xdr:colOff>
          <xdr:row>85</xdr:row>
          <xdr:rowOff>45720</xdr:rowOff>
        </xdr:to>
        <xdr:sp macro="" textlink="">
          <xdr:nvSpPr>
            <xdr:cNvPr id="11282" name="Control 18" hidden="1">
              <a:extLst>
                <a:ext uri="{63B3BB69-23CF-44E3-9099-C40C66FF867C}">
                  <a14:compatExt spid="_x0000_s11282"/>
                </a:ext>
                <a:ext uri="{FF2B5EF4-FFF2-40B4-BE49-F238E27FC236}">
                  <a16:creationId xmlns:a16="http://schemas.microsoft.com/office/drawing/2014/main" id="{00000000-0008-0000-0700-000012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84</xdr:row>
          <xdr:rowOff>0</xdr:rowOff>
        </xdr:from>
        <xdr:to>
          <xdr:col>7</xdr:col>
          <xdr:colOff>236220</xdr:colOff>
          <xdr:row>85</xdr:row>
          <xdr:rowOff>45720</xdr:rowOff>
        </xdr:to>
        <xdr:sp macro="" textlink="">
          <xdr:nvSpPr>
            <xdr:cNvPr id="11283" name="Control 19" hidden="1">
              <a:extLst>
                <a:ext uri="{63B3BB69-23CF-44E3-9099-C40C66FF867C}">
                  <a14:compatExt spid="_x0000_s11283"/>
                </a:ext>
                <a:ext uri="{FF2B5EF4-FFF2-40B4-BE49-F238E27FC236}">
                  <a16:creationId xmlns:a16="http://schemas.microsoft.com/office/drawing/2014/main" id="{00000000-0008-0000-0700-000013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84</xdr:row>
          <xdr:rowOff>0</xdr:rowOff>
        </xdr:from>
        <xdr:to>
          <xdr:col>3</xdr:col>
          <xdr:colOff>304800</xdr:colOff>
          <xdr:row>85</xdr:row>
          <xdr:rowOff>45720</xdr:rowOff>
        </xdr:to>
        <xdr:sp macro="" textlink="">
          <xdr:nvSpPr>
            <xdr:cNvPr id="11284" name="Control 20" hidden="1">
              <a:extLst>
                <a:ext uri="{63B3BB69-23CF-44E3-9099-C40C66FF867C}">
                  <a14:compatExt spid="_x0000_s11284"/>
                </a:ext>
                <a:ext uri="{FF2B5EF4-FFF2-40B4-BE49-F238E27FC236}">
                  <a16:creationId xmlns:a16="http://schemas.microsoft.com/office/drawing/2014/main" id="{00000000-0008-0000-0700-000014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5</xdr:col>
          <xdr:colOff>304800</xdr:colOff>
          <xdr:row>85</xdr:row>
          <xdr:rowOff>45720</xdr:rowOff>
        </xdr:to>
        <xdr:sp macro="" textlink="">
          <xdr:nvSpPr>
            <xdr:cNvPr id="11285" name="Control 21" hidden="1">
              <a:extLst>
                <a:ext uri="{63B3BB69-23CF-44E3-9099-C40C66FF867C}">
                  <a14:compatExt spid="_x0000_s11285"/>
                </a:ext>
                <a:ext uri="{FF2B5EF4-FFF2-40B4-BE49-F238E27FC236}">
                  <a16:creationId xmlns:a16="http://schemas.microsoft.com/office/drawing/2014/main" id="{00000000-0008-0000-0700-000015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5</xdr:col>
          <xdr:colOff>304800</xdr:colOff>
          <xdr:row>85</xdr:row>
          <xdr:rowOff>45720</xdr:rowOff>
        </xdr:to>
        <xdr:sp macro="" textlink="">
          <xdr:nvSpPr>
            <xdr:cNvPr id="11286" name="Control 22" hidden="1">
              <a:extLst>
                <a:ext uri="{63B3BB69-23CF-44E3-9099-C40C66FF867C}">
                  <a14:compatExt spid="_x0000_s11286"/>
                </a:ext>
                <a:ext uri="{FF2B5EF4-FFF2-40B4-BE49-F238E27FC236}">
                  <a16:creationId xmlns:a16="http://schemas.microsoft.com/office/drawing/2014/main" id="{00000000-0008-0000-0700-000016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84</xdr:row>
          <xdr:rowOff>0</xdr:rowOff>
        </xdr:from>
        <xdr:to>
          <xdr:col>7</xdr:col>
          <xdr:colOff>236220</xdr:colOff>
          <xdr:row>85</xdr:row>
          <xdr:rowOff>45720</xdr:rowOff>
        </xdr:to>
        <xdr:sp macro="" textlink="">
          <xdr:nvSpPr>
            <xdr:cNvPr id="11287" name="Control 23" hidden="1">
              <a:extLst>
                <a:ext uri="{63B3BB69-23CF-44E3-9099-C40C66FF867C}">
                  <a14:compatExt spid="_x0000_s11287"/>
                </a:ext>
                <a:ext uri="{FF2B5EF4-FFF2-40B4-BE49-F238E27FC236}">
                  <a16:creationId xmlns:a16="http://schemas.microsoft.com/office/drawing/2014/main" id="{00000000-0008-0000-0700-000017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84</xdr:row>
          <xdr:rowOff>0</xdr:rowOff>
        </xdr:from>
        <xdr:to>
          <xdr:col>7</xdr:col>
          <xdr:colOff>236220</xdr:colOff>
          <xdr:row>85</xdr:row>
          <xdr:rowOff>45720</xdr:rowOff>
        </xdr:to>
        <xdr:sp macro="" textlink="">
          <xdr:nvSpPr>
            <xdr:cNvPr id="11288" name="Control 24" hidden="1">
              <a:extLst>
                <a:ext uri="{63B3BB69-23CF-44E3-9099-C40C66FF867C}">
                  <a14:compatExt spid="_x0000_s11288"/>
                </a:ext>
                <a:ext uri="{FF2B5EF4-FFF2-40B4-BE49-F238E27FC236}">
                  <a16:creationId xmlns:a16="http://schemas.microsoft.com/office/drawing/2014/main" id="{00000000-0008-0000-0700-000018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84</xdr:row>
          <xdr:rowOff>0</xdr:rowOff>
        </xdr:from>
        <xdr:to>
          <xdr:col>7</xdr:col>
          <xdr:colOff>236220</xdr:colOff>
          <xdr:row>85</xdr:row>
          <xdr:rowOff>45720</xdr:rowOff>
        </xdr:to>
        <xdr:sp macro="" textlink="">
          <xdr:nvSpPr>
            <xdr:cNvPr id="11289" name="Control 25" hidden="1">
              <a:extLst>
                <a:ext uri="{63B3BB69-23CF-44E3-9099-C40C66FF867C}">
                  <a14:compatExt spid="_x0000_s11289"/>
                </a:ext>
                <a:ext uri="{FF2B5EF4-FFF2-40B4-BE49-F238E27FC236}">
                  <a16:creationId xmlns:a16="http://schemas.microsoft.com/office/drawing/2014/main" id="{00000000-0008-0000-0700-000019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ville.pyykkonen@luke.fi"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control" Target="../activeX/activeX10.xml"/><Relationship Id="rId18" Type="http://schemas.openxmlformats.org/officeDocument/2006/relationships/control" Target="../activeX/activeX15.xml"/><Relationship Id="rId26" Type="http://schemas.openxmlformats.org/officeDocument/2006/relationships/control" Target="../activeX/activeX23.xml"/><Relationship Id="rId3" Type="http://schemas.openxmlformats.org/officeDocument/2006/relationships/control" Target="../activeX/activeX1.xml"/><Relationship Id="rId21" Type="http://schemas.openxmlformats.org/officeDocument/2006/relationships/control" Target="../activeX/activeX18.xml"/><Relationship Id="rId7" Type="http://schemas.openxmlformats.org/officeDocument/2006/relationships/control" Target="../activeX/activeX4.xml"/><Relationship Id="rId12" Type="http://schemas.openxmlformats.org/officeDocument/2006/relationships/control" Target="../activeX/activeX9.xml"/><Relationship Id="rId17" Type="http://schemas.openxmlformats.org/officeDocument/2006/relationships/control" Target="../activeX/activeX14.xml"/><Relationship Id="rId25" Type="http://schemas.openxmlformats.org/officeDocument/2006/relationships/control" Target="../activeX/activeX22.xml"/><Relationship Id="rId2" Type="http://schemas.openxmlformats.org/officeDocument/2006/relationships/vmlDrawing" Target="../drawings/vmlDrawing7.vml"/><Relationship Id="rId16" Type="http://schemas.openxmlformats.org/officeDocument/2006/relationships/control" Target="../activeX/activeX13.xml"/><Relationship Id="rId20" Type="http://schemas.openxmlformats.org/officeDocument/2006/relationships/control" Target="../activeX/activeX17.xml"/><Relationship Id="rId29" Type="http://schemas.openxmlformats.org/officeDocument/2006/relationships/control" Target="../activeX/activeX25.xml"/><Relationship Id="rId1" Type="http://schemas.openxmlformats.org/officeDocument/2006/relationships/drawing" Target="../drawings/drawing3.xml"/><Relationship Id="rId6" Type="http://schemas.openxmlformats.org/officeDocument/2006/relationships/control" Target="../activeX/activeX3.xml"/><Relationship Id="rId11" Type="http://schemas.openxmlformats.org/officeDocument/2006/relationships/control" Target="../activeX/activeX8.xml"/><Relationship Id="rId24" Type="http://schemas.openxmlformats.org/officeDocument/2006/relationships/control" Target="../activeX/activeX21.xml"/><Relationship Id="rId5" Type="http://schemas.openxmlformats.org/officeDocument/2006/relationships/control" Target="../activeX/activeX2.xml"/><Relationship Id="rId15" Type="http://schemas.openxmlformats.org/officeDocument/2006/relationships/control" Target="../activeX/activeX12.xml"/><Relationship Id="rId23" Type="http://schemas.openxmlformats.org/officeDocument/2006/relationships/control" Target="../activeX/activeX20.xml"/><Relationship Id="rId28" Type="http://schemas.openxmlformats.org/officeDocument/2006/relationships/image" Target="../media/image4.emf"/><Relationship Id="rId10" Type="http://schemas.openxmlformats.org/officeDocument/2006/relationships/control" Target="../activeX/activeX7.xml"/><Relationship Id="rId19" Type="http://schemas.openxmlformats.org/officeDocument/2006/relationships/control" Target="../activeX/activeX16.xml"/><Relationship Id="rId4" Type="http://schemas.openxmlformats.org/officeDocument/2006/relationships/image" Target="../media/image3.emf"/><Relationship Id="rId9" Type="http://schemas.openxmlformats.org/officeDocument/2006/relationships/control" Target="../activeX/activeX6.xml"/><Relationship Id="rId14" Type="http://schemas.openxmlformats.org/officeDocument/2006/relationships/control" Target="../activeX/activeX11.xml"/><Relationship Id="rId22" Type="http://schemas.openxmlformats.org/officeDocument/2006/relationships/control" Target="../activeX/activeX19.xml"/><Relationship Id="rId27" Type="http://schemas.openxmlformats.org/officeDocument/2006/relationships/control" Target="../activeX/activeX24.xml"/><Relationship Id="rId30"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95A0B-E77A-4C19-A95B-8F975B46509F}">
  <dimension ref="A1:D53"/>
  <sheetViews>
    <sheetView tabSelected="1" workbookViewId="0">
      <selection activeCell="A28" sqref="A28"/>
    </sheetView>
  </sheetViews>
  <sheetFormatPr defaultRowHeight="14.4" x14ac:dyDescent="0.3"/>
  <cols>
    <col min="1" max="1" width="11.88671875" customWidth="1"/>
  </cols>
  <sheetData>
    <row r="1" s="1" customFormat="1" x14ac:dyDescent="0.3"/>
    <row r="2" s="1" customFormat="1" x14ac:dyDescent="0.3"/>
    <row r="3" s="1" customFormat="1" x14ac:dyDescent="0.3"/>
    <row r="4" s="1" customFormat="1" x14ac:dyDescent="0.3"/>
    <row r="5" s="1" customFormat="1" x14ac:dyDescent="0.3"/>
    <row r="6" s="1" customFormat="1" x14ac:dyDescent="0.3"/>
    <row r="7" s="1" customFormat="1" x14ac:dyDescent="0.3"/>
    <row r="8" s="1" customFormat="1" x14ac:dyDescent="0.3"/>
    <row r="9" s="1" customFormat="1" x14ac:dyDescent="0.3"/>
    <row r="10" s="1" customFormat="1" x14ac:dyDescent="0.3"/>
    <row r="11" s="1" customFormat="1" x14ac:dyDescent="0.3"/>
    <row r="12" s="1" customFormat="1" x14ac:dyDescent="0.3"/>
    <row r="13" s="1" customFormat="1" x14ac:dyDescent="0.3"/>
    <row r="14" s="1" customFormat="1" x14ac:dyDescent="0.3"/>
    <row r="15" s="1" customFormat="1" x14ac:dyDescent="0.3"/>
    <row r="16" s="1" customFormat="1" x14ac:dyDescent="0.3"/>
    <row r="17" spans="1:4" s="1" customFormat="1" x14ac:dyDescent="0.3"/>
    <row r="18" spans="1:4" s="1" customFormat="1" x14ac:dyDescent="0.3"/>
    <row r="19" spans="1:4" s="1" customFormat="1" x14ac:dyDescent="0.3"/>
    <row r="20" spans="1:4" s="1" customFormat="1" x14ac:dyDescent="0.3"/>
    <row r="21" spans="1:4" s="1" customFormat="1" x14ac:dyDescent="0.3"/>
    <row r="22" spans="1:4" s="1" customFormat="1" x14ac:dyDescent="0.3"/>
    <row r="23" spans="1:4" s="1" customFormat="1" x14ac:dyDescent="0.3"/>
    <row r="24" spans="1:4" s="1" customFormat="1" x14ac:dyDescent="0.3"/>
    <row r="25" spans="1:4" s="1" customFormat="1" x14ac:dyDescent="0.3"/>
    <row r="26" spans="1:4" s="1" customFormat="1" x14ac:dyDescent="0.3"/>
    <row r="27" spans="1:4" s="1" customFormat="1" ht="23.4" x14ac:dyDescent="0.45">
      <c r="A27" s="7" t="s">
        <v>325</v>
      </c>
    </row>
    <row r="28" spans="1:4" s="1" customFormat="1" ht="23.4" x14ac:dyDescent="0.45">
      <c r="A28" s="8" t="s">
        <v>609</v>
      </c>
    </row>
    <row r="29" spans="1:4" s="1" customFormat="1" ht="18" x14ac:dyDescent="0.35">
      <c r="A29" s="5" t="s">
        <v>324</v>
      </c>
      <c r="D29" s="3" t="s">
        <v>110</v>
      </c>
    </row>
    <row r="30" spans="1:4" s="1" customFormat="1" ht="15" customHeight="1" x14ac:dyDescent="0.5">
      <c r="A30" s="2"/>
      <c r="B30" s="4"/>
    </row>
    <row r="31" spans="1:4" s="1" customFormat="1" ht="25.8" x14ac:dyDescent="0.5">
      <c r="A31" s="332" t="s">
        <v>250</v>
      </c>
      <c r="B31" s="2"/>
      <c r="C31" s="2"/>
    </row>
    <row r="32" spans="1:4" s="1" customFormat="1" ht="25.8" x14ac:dyDescent="0.5">
      <c r="A32" s="5" t="s">
        <v>251</v>
      </c>
      <c r="B32" s="2"/>
      <c r="C32" s="2"/>
    </row>
    <row r="33" spans="1:3" s="1" customFormat="1" ht="25.8" x14ac:dyDescent="0.5">
      <c r="A33" s="6" t="s">
        <v>249</v>
      </c>
      <c r="B33" s="2"/>
      <c r="C33" s="2"/>
    </row>
    <row r="34" spans="1:3" s="1" customFormat="1" ht="25.8" x14ac:dyDescent="0.5">
      <c r="A34" s="10">
        <v>123</v>
      </c>
      <c r="B34" s="5" t="s">
        <v>245</v>
      </c>
      <c r="C34" s="2"/>
    </row>
    <row r="35" spans="1:3" s="1" customFormat="1" ht="25.8" x14ac:dyDescent="0.5">
      <c r="A35" s="11">
        <v>456</v>
      </c>
      <c r="B35" s="5" t="s">
        <v>247</v>
      </c>
      <c r="C35" s="2"/>
    </row>
    <row r="36" spans="1:3" s="1" customFormat="1" ht="25.8" x14ac:dyDescent="0.5">
      <c r="A36" s="9" t="s">
        <v>200</v>
      </c>
      <c r="B36" s="5" t="s">
        <v>246</v>
      </c>
      <c r="C36" s="2"/>
    </row>
    <row r="37" spans="1:3" s="1" customFormat="1" x14ac:dyDescent="0.3"/>
    <row r="38" spans="1:3" s="1" customFormat="1" ht="25.8" x14ac:dyDescent="0.5">
      <c r="A38" s="10">
        <v>789</v>
      </c>
      <c r="B38" s="5" t="s">
        <v>248</v>
      </c>
    </row>
    <row r="39" spans="1:3" s="1" customFormat="1" x14ac:dyDescent="0.3"/>
    <row r="40" spans="1:3" s="1" customFormat="1" x14ac:dyDescent="0.3"/>
    <row r="41" spans="1:3" s="1" customFormat="1" x14ac:dyDescent="0.3"/>
    <row r="42" spans="1:3" s="1" customFormat="1" x14ac:dyDescent="0.3"/>
    <row r="43" spans="1:3" s="1" customFormat="1" x14ac:dyDescent="0.3"/>
    <row r="44" spans="1:3" s="1" customFormat="1" x14ac:dyDescent="0.3"/>
    <row r="45" spans="1:3" s="1" customFormat="1" x14ac:dyDescent="0.3"/>
    <row r="46" spans="1:3" s="1" customFormat="1" x14ac:dyDescent="0.3"/>
    <row r="47" spans="1:3" s="1" customFormat="1" x14ac:dyDescent="0.3"/>
    <row r="48" spans="1:3" s="1" customFormat="1" x14ac:dyDescent="0.3"/>
    <row r="49" s="1" customFormat="1" x14ac:dyDescent="0.3"/>
    <row r="50" s="1" customFormat="1" x14ac:dyDescent="0.3"/>
    <row r="51" s="1" customFormat="1" x14ac:dyDescent="0.3"/>
    <row r="52" s="1" customFormat="1" x14ac:dyDescent="0.3"/>
    <row r="53" s="1" customFormat="1" x14ac:dyDescent="0.3"/>
  </sheetData>
  <sheetProtection algorithmName="SHA-512" hashValue="nmBEIQPMYF1D/EufNQhYmp0VuB+fOdsoyrFGCTevlXMVEykA6lqJSkJSVJPIQcJtgOfMa7niJ1Jzqhr054d0Pw==" saltValue="To8AuqwThEx0Tl7HzzxOjA==" spinCount="100000" sheet="1" objects="1" scenarios="1"/>
  <protectedRanges>
    <protectedRange sqref="A34:A38" name="Alue1"/>
  </protectedRanges>
  <hyperlinks>
    <hyperlink ref="D29" r:id="rId1" xr:uid="{EA86BDA8-B941-4906-8B9C-69769109A609}"/>
  </hyperlinks>
  <pageMargins left="0.7" right="0.7" top="0.75" bottom="0.75" header="0.3" footer="0.3"/>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88A05CA-F653-4460-826A-7B88925E680D}">
          <x14:formula1>
            <xm:f>'1. Feedstock'!$B$63:$B$64</xm:f>
          </x14:formula1>
          <xm:sqref>A36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17809-4FBB-40E2-AABA-890E667F2D52}">
  <dimension ref="A1:H133"/>
  <sheetViews>
    <sheetView workbookViewId="0">
      <selection activeCell="H4" sqref="H4"/>
    </sheetView>
  </sheetViews>
  <sheetFormatPr defaultRowHeight="14.4" x14ac:dyDescent="0.3"/>
  <cols>
    <col min="1" max="2" width="4.88671875" style="78" customWidth="1"/>
    <col min="3" max="3" width="67.44140625" style="78" customWidth="1"/>
    <col min="4" max="4" width="10.88671875" style="78" customWidth="1"/>
    <col min="5" max="5" width="16.109375" style="78" customWidth="1"/>
    <col min="6" max="16384" width="8.88671875" style="78"/>
  </cols>
  <sheetData>
    <row r="1" spans="1:5" s="53" customFormat="1" ht="24" thickBot="1" x14ac:dyDescent="0.5">
      <c r="A1" s="13" t="s">
        <v>575</v>
      </c>
      <c r="B1" s="13"/>
      <c r="C1" s="13"/>
      <c r="D1" s="13"/>
      <c r="E1" s="13"/>
    </row>
    <row r="2" spans="1:5" s="53" customFormat="1" ht="15" thickTop="1" x14ac:dyDescent="0.3"/>
    <row r="3" spans="1:5" s="53" customFormat="1" x14ac:dyDescent="0.3">
      <c r="A3" s="17" t="s">
        <v>86</v>
      </c>
      <c r="B3" s="17"/>
      <c r="C3" s="17"/>
      <c r="D3" s="17"/>
      <c r="E3" s="17"/>
    </row>
    <row r="4" spans="1:5" s="53" customFormat="1" x14ac:dyDescent="0.3">
      <c r="A4" s="319"/>
      <c r="B4" s="65" t="s">
        <v>87</v>
      </c>
      <c r="C4" s="65"/>
      <c r="D4" s="319"/>
      <c r="E4" s="319"/>
    </row>
    <row r="5" spans="1:5" s="53" customFormat="1" x14ac:dyDescent="0.3">
      <c r="C5" s="53" t="s">
        <v>528</v>
      </c>
      <c r="D5" s="56">
        <f>'3. Technology'!B4</f>
        <v>6000</v>
      </c>
      <c r="E5" s="53" t="s">
        <v>79</v>
      </c>
    </row>
    <row r="6" spans="1:5" s="53" customFormat="1" x14ac:dyDescent="0.3">
      <c r="C6" s="53" t="s">
        <v>527</v>
      </c>
      <c r="D6" s="56">
        <f>'3. Technology'!B13</f>
        <v>1000</v>
      </c>
      <c r="E6" s="53" t="s">
        <v>79</v>
      </c>
    </row>
    <row r="7" spans="1:5" s="53" customFormat="1" x14ac:dyDescent="0.3">
      <c r="A7" s="319"/>
      <c r="B7" s="65" t="s">
        <v>529</v>
      </c>
      <c r="C7" s="65"/>
      <c r="D7" s="319"/>
      <c r="E7" s="319"/>
    </row>
    <row r="8" spans="1:5" s="53" customFormat="1" x14ac:dyDescent="0.3">
      <c r="C8" s="53" t="s">
        <v>530</v>
      </c>
      <c r="D8" s="56">
        <f>'1. Feedstock'!C48</f>
        <v>7000</v>
      </c>
      <c r="E8" s="53" t="s">
        <v>79</v>
      </c>
    </row>
    <row r="9" spans="1:5" s="53" customFormat="1" x14ac:dyDescent="0.3">
      <c r="C9" s="53" t="s">
        <v>531</v>
      </c>
      <c r="D9" s="56">
        <f>'1. Feedstock'!D48</f>
        <v>840</v>
      </c>
      <c r="E9" s="53" t="s">
        <v>79</v>
      </c>
    </row>
    <row r="10" spans="1:5" s="53" customFormat="1" x14ac:dyDescent="0.3">
      <c r="C10" s="53" t="s">
        <v>532</v>
      </c>
      <c r="D10" s="64">
        <f>'1. Feedstock'!D47</f>
        <v>12</v>
      </c>
      <c r="E10" s="53" t="s">
        <v>80</v>
      </c>
    </row>
    <row r="11" spans="1:5" s="53" customFormat="1" ht="16.2" x14ac:dyDescent="0.3">
      <c r="C11" s="53" t="s">
        <v>533</v>
      </c>
      <c r="D11" s="77">
        <f>'1. Feedstock'!C46</f>
        <v>0</v>
      </c>
      <c r="E11" s="53" t="s">
        <v>88</v>
      </c>
    </row>
    <row r="12" spans="1:5" s="53" customFormat="1" ht="16.2" x14ac:dyDescent="0.3">
      <c r="C12" s="53" t="s">
        <v>534</v>
      </c>
      <c r="D12" s="320">
        <f>'2. Plant type'!B13</f>
        <v>0</v>
      </c>
      <c r="E12" s="53" t="s">
        <v>89</v>
      </c>
    </row>
    <row r="13" spans="1:5" s="53" customFormat="1" x14ac:dyDescent="0.3">
      <c r="A13" s="17" t="s">
        <v>44</v>
      </c>
      <c r="B13" s="17"/>
      <c r="C13" s="17"/>
      <c r="D13" s="17"/>
      <c r="E13" s="17"/>
    </row>
    <row r="14" spans="1:5" s="53" customFormat="1" x14ac:dyDescent="0.3">
      <c r="A14" s="319"/>
      <c r="B14" s="65" t="s">
        <v>214</v>
      </c>
      <c r="C14" s="65"/>
      <c r="D14" s="319"/>
      <c r="E14" s="319"/>
    </row>
    <row r="15" spans="1:5" s="53" customFormat="1" ht="16.2" x14ac:dyDescent="0.3">
      <c r="C15" s="53" t="s">
        <v>535</v>
      </c>
      <c r="D15" s="321">
        <f>'3. Technology'!B35</f>
        <v>2.8653061224489798</v>
      </c>
      <c r="E15" s="53" t="s">
        <v>167</v>
      </c>
    </row>
    <row r="16" spans="1:5" s="53" customFormat="1" x14ac:dyDescent="0.3">
      <c r="C16" s="53" t="s">
        <v>536</v>
      </c>
      <c r="D16" s="53">
        <f>'3. Technology'!B31</f>
        <v>35</v>
      </c>
      <c r="E16" s="53" t="s">
        <v>81</v>
      </c>
    </row>
    <row r="17" spans="1:5" s="53" customFormat="1" ht="16.2" x14ac:dyDescent="0.3">
      <c r="C17" s="53" t="s">
        <v>537</v>
      </c>
      <c r="D17" s="320">
        <f>'3. Technology'!B33</f>
        <v>671.23287671232868</v>
      </c>
      <c r="E17" s="53" t="s">
        <v>125</v>
      </c>
    </row>
    <row r="18" spans="1:5" s="53" customFormat="1" x14ac:dyDescent="0.3">
      <c r="A18" s="319"/>
      <c r="B18" s="65" t="s">
        <v>82</v>
      </c>
      <c r="C18" s="65"/>
      <c r="D18" s="319"/>
      <c r="E18" s="319"/>
    </row>
    <row r="19" spans="1:5" s="53" customFormat="1" ht="16.2" x14ac:dyDescent="0.3">
      <c r="C19" s="53" t="s">
        <v>539</v>
      </c>
      <c r="D19" s="322" t="str">
        <f>'5. Nutrients'!I39</f>
        <v>-</v>
      </c>
      <c r="E19" s="53" t="s">
        <v>125</v>
      </c>
    </row>
    <row r="20" spans="1:5" s="53" customFormat="1" ht="16.2" x14ac:dyDescent="0.3">
      <c r="C20" s="53" t="s">
        <v>538</v>
      </c>
      <c r="D20" s="322" t="str">
        <f>IF('5. Nutrients'!I29="-","-",'5. Nutrients'!I29*2)</f>
        <v>-</v>
      </c>
      <c r="E20" s="53" t="s">
        <v>125</v>
      </c>
    </row>
    <row r="21" spans="1:5" s="53" customFormat="1" x14ac:dyDescent="0.3">
      <c r="A21" s="17" t="s">
        <v>341</v>
      </c>
      <c r="B21" s="17"/>
      <c r="C21" s="17"/>
      <c r="D21" s="17"/>
      <c r="E21" s="17"/>
    </row>
    <row r="22" spans="1:5" s="53" customFormat="1" x14ac:dyDescent="0.3">
      <c r="A22" s="65"/>
      <c r="B22" s="65" t="s">
        <v>570</v>
      </c>
      <c r="C22" s="65"/>
      <c r="D22" s="65"/>
      <c r="E22" s="319"/>
    </row>
    <row r="23" spans="1:5" s="53" customFormat="1" x14ac:dyDescent="0.3">
      <c r="C23" s="53" t="s">
        <v>540</v>
      </c>
      <c r="D23" s="56">
        <f>'4. Energy'!B3</f>
        <v>1441.2029414880471</v>
      </c>
      <c r="E23" s="53" t="s">
        <v>52</v>
      </c>
    </row>
    <row r="24" spans="1:5" s="53" customFormat="1" x14ac:dyDescent="0.3">
      <c r="C24" s="53" t="s">
        <v>544</v>
      </c>
      <c r="D24" s="56">
        <f>'4. Energy'!B4</f>
        <v>164.52088373151221</v>
      </c>
      <c r="E24" s="53" t="s">
        <v>573</v>
      </c>
    </row>
    <row r="25" spans="1:5" s="53" customFormat="1" ht="16.2" x14ac:dyDescent="0.3">
      <c r="C25" s="53" t="s">
        <v>541</v>
      </c>
      <c r="D25" s="56">
        <f>'4. Energy'!B5</f>
        <v>241100.11755230752</v>
      </c>
      <c r="E25" s="53" t="s">
        <v>125</v>
      </c>
    </row>
    <row r="26" spans="1:5" s="53" customFormat="1" x14ac:dyDescent="0.3">
      <c r="C26" s="53" t="s">
        <v>542</v>
      </c>
      <c r="D26" s="320">
        <f>'4. Energy'!F15</f>
        <v>41.949751115644702</v>
      </c>
      <c r="E26" s="53" t="s">
        <v>571</v>
      </c>
    </row>
    <row r="27" spans="1:5" s="53" customFormat="1" x14ac:dyDescent="0.3">
      <c r="C27" s="53" t="s">
        <v>586</v>
      </c>
      <c r="D27" s="320">
        <f>'4. Energy'!F14</f>
        <v>83.899502231289404</v>
      </c>
      <c r="E27" s="53" t="s">
        <v>572</v>
      </c>
    </row>
    <row r="28" spans="1:5" s="53" customFormat="1" x14ac:dyDescent="0.3">
      <c r="C28" s="53" t="s">
        <v>587</v>
      </c>
      <c r="D28" s="320">
        <f>'4. Energy'!F12</f>
        <v>24.819240048243486</v>
      </c>
      <c r="E28" s="53" t="s">
        <v>572</v>
      </c>
    </row>
    <row r="29" spans="1:5" s="53" customFormat="1" x14ac:dyDescent="0.3">
      <c r="C29" s="58" t="s">
        <v>543</v>
      </c>
      <c r="D29" s="320">
        <f>'4. Energy'!F16+'4. Energy'!F17</f>
        <v>0</v>
      </c>
      <c r="E29" s="53" t="s">
        <v>574</v>
      </c>
    </row>
    <row r="30" spans="1:5" s="53" customFormat="1" x14ac:dyDescent="0.3">
      <c r="A30" s="65"/>
      <c r="B30" s="65" t="s">
        <v>588</v>
      </c>
      <c r="C30" s="65"/>
      <c r="D30" s="65"/>
      <c r="E30" s="319"/>
    </row>
    <row r="31" spans="1:5" s="53" customFormat="1" x14ac:dyDescent="0.3">
      <c r="C31" s="53" t="s">
        <v>545</v>
      </c>
      <c r="D31" s="56">
        <f>'4. Energy'!D12+'4. Energy'!D14</f>
        <v>952.37618236870821</v>
      </c>
      <c r="E31" s="53" t="s">
        <v>52</v>
      </c>
    </row>
    <row r="32" spans="1:5" s="53" customFormat="1" x14ac:dyDescent="0.3">
      <c r="C32" s="53" t="s">
        <v>546</v>
      </c>
      <c r="D32" s="56">
        <f>'4. Energy'!D35</f>
        <v>217.41654282261291</v>
      </c>
      <c r="E32" s="53" t="s">
        <v>52</v>
      </c>
    </row>
    <row r="33" spans="1:8" s="53" customFormat="1" x14ac:dyDescent="0.3">
      <c r="C33" s="53" t="s">
        <v>549</v>
      </c>
      <c r="D33" s="323">
        <f>'4. Energy'!H35</f>
        <v>734.95963954609533</v>
      </c>
      <c r="E33" s="53" t="s">
        <v>52</v>
      </c>
    </row>
    <row r="34" spans="1:8" s="53" customFormat="1" x14ac:dyDescent="0.3">
      <c r="C34" s="53" t="s">
        <v>547</v>
      </c>
      <c r="D34" s="56">
        <f>'4. Energy'!N35</f>
        <v>0</v>
      </c>
      <c r="E34" s="53" t="s">
        <v>52</v>
      </c>
      <c r="H34" s="56"/>
    </row>
    <row r="35" spans="1:8" s="53" customFormat="1" x14ac:dyDescent="0.3">
      <c r="A35" s="65"/>
      <c r="B35" s="65" t="s">
        <v>548</v>
      </c>
      <c r="C35" s="65"/>
      <c r="D35" s="65"/>
      <c r="E35" s="319"/>
    </row>
    <row r="36" spans="1:8" s="53" customFormat="1" x14ac:dyDescent="0.3">
      <c r="C36" s="53" t="s">
        <v>550</v>
      </c>
      <c r="D36" s="56">
        <f>'4. Energy'!B36</f>
        <v>367.47981977304761</v>
      </c>
      <c r="E36" s="53" t="s">
        <v>52</v>
      </c>
    </row>
    <row r="37" spans="1:8" s="53" customFormat="1" x14ac:dyDescent="0.3">
      <c r="C37" s="53" t="s">
        <v>551</v>
      </c>
      <c r="D37" s="56">
        <f>'4. Energy'!D36</f>
        <v>74.753194139507343</v>
      </c>
      <c r="E37" s="53" t="s">
        <v>52</v>
      </c>
    </row>
    <row r="38" spans="1:8" s="53" customFormat="1" x14ac:dyDescent="0.3">
      <c r="C38" s="53" t="s">
        <v>549</v>
      </c>
      <c r="D38" s="320">
        <f>'4. Energy'!H36</f>
        <v>292.72662563354027</v>
      </c>
      <c r="E38" s="53" t="s">
        <v>52</v>
      </c>
    </row>
    <row r="39" spans="1:8" s="53" customFormat="1" x14ac:dyDescent="0.3">
      <c r="C39" s="53" t="s">
        <v>547</v>
      </c>
      <c r="D39" s="56">
        <f>'4. Energy'!N36</f>
        <v>0</v>
      </c>
      <c r="E39" s="53" t="s">
        <v>52</v>
      </c>
    </row>
    <row r="40" spans="1:8" s="53" customFormat="1" x14ac:dyDescent="0.3">
      <c r="A40" s="65"/>
      <c r="B40" s="65" t="s">
        <v>552</v>
      </c>
      <c r="C40" s="65"/>
      <c r="D40" s="65"/>
      <c r="E40" s="319"/>
    </row>
    <row r="41" spans="1:8" s="53" customFormat="1" x14ac:dyDescent="0.3">
      <c r="C41" s="53" t="s">
        <v>553</v>
      </c>
      <c r="D41" s="56">
        <f>'4. Energy'!N39</f>
        <v>0</v>
      </c>
      <c r="E41" s="53" t="s">
        <v>52</v>
      </c>
    </row>
    <row r="42" spans="1:8" s="53" customFormat="1" x14ac:dyDescent="0.3">
      <c r="A42" s="65"/>
      <c r="B42" s="65" t="s">
        <v>554</v>
      </c>
      <c r="C42" s="65"/>
      <c r="D42" s="65"/>
      <c r="E42" s="319"/>
    </row>
    <row r="43" spans="1:8" s="53" customFormat="1" ht="15.6" x14ac:dyDescent="0.35">
      <c r="C43" s="53" t="s">
        <v>555</v>
      </c>
      <c r="D43" s="53">
        <f>'4. Energy'!D16+'4. Energy'!D17</f>
        <v>0</v>
      </c>
      <c r="E43" s="53" t="s">
        <v>52</v>
      </c>
    </row>
    <row r="44" spans="1:8" s="53" customFormat="1" ht="15.6" x14ac:dyDescent="0.35">
      <c r="C44" s="58" t="s">
        <v>556</v>
      </c>
      <c r="D44" s="53">
        <f>D43*1000/13.9</f>
        <v>0</v>
      </c>
      <c r="E44" s="53" t="s">
        <v>83</v>
      </c>
    </row>
    <row r="45" spans="1:8" s="53" customFormat="1" x14ac:dyDescent="0.3">
      <c r="A45" s="17" t="s">
        <v>383</v>
      </c>
      <c r="B45" s="17"/>
      <c r="C45" s="17"/>
      <c r="D45" s="17"/>
      <c r="E45" s="17"/>
    </row>
    <row r="46" spans="1:8" s="60" customFormat="1" x14ac:dyDescent="0.3">
      <c r="A46" s="65"/>
      <c r="B46" s="65" t="s">
        <v>557</v>
      </c>
      <c r="C46" s="65"/>
      <c r="D46" s="324">
        <f>'5. Nutrients'!D5</f>
        <v>6706.5852952244413</v>
      </c>
      <c r="E46" s="65" t="s">
        <v>84</v>
      </c>
    </row>
    <row r="47" spans="1:8" s="53" customFormat="1" x14ac:dyDescent="0.3">
      <c r="C47" s="53" t="s">
        <v>392</v>
      </c>
      <c r="D47" s="321">
        <f>'5. Nutrients'!D10</f>
        <v>8.149979030515702</v>
      </c>
      <c r="E47" s="53" t="s">
        <v>80</v>
      </c>
      <c r="G47" s="60"/>
    </row>
    <row r="48" spans="1:8" s="53" customFormat="1" x14ac:dyDescent="0.3">
      <c r="C48" s="53" t="s">
        <v>394</v>
      </c>
      <c r="D48" s="64">
        <f>'5. Nutrients'!D12</f>
        <v>5.6213405690739586</v>
      </c>
      <c r="E48" s="53" t="s">
        <v>562</v>
      </c>
      <c r="G48" s="60"/>
    </row>
    <row r="49" spans="1:7" s="53" customFormat="1" x14ac:dyDescent="0.3">
      <c r="C49" s="53" t="s">
        <v>395</v>
      </c>
      <c r="D49" s="64">
        <f>'5. Nutrients'!D13</f>
        <v>3.3870643522933346</v>
      </c>
      <c r="E49" s="53" t="s">
        <v>562</v>
      </c>
      <c r="G49" s="60"/>
    </row>
    <row r="50" spans="1:7" s="53" customFormat="1" x14ac:dyDescent="0.3">
      <c r="C50" s="53" t="s">
        <v>396</v>
      </c>
      <c r="D50" s="64">
        <f>'5. Nutrients'!D14</f>
        <v>0.93937521446063488</v>
      </c>
      <c r="E50" s="53" t="s">
        <v>562</v>
      </c>
      <c r="G50" s="60"/>
    </row>
    <row r="51" spans="1:7" s="53" customFormat="1" x14ac:dyDescent="0.3">
      <c r="C51" s="53" t="s">
        <v>397</v>
      </c>
      <c r="D51" s="64">
        <f>'5. Nutrients'!D15</f>
        <v>5.2783940622073766</v>
      </c>
      <c r="E51" s="53" t="s">
        <v>562</v>
      </c>
      <c r="G51" s="60"/>
    </row>
    <row r="52" spans="1:7" s="53" customFormat="1" x14ac:dyDescent="0.3">
      <c r="C52" s="60" t="s">
        <v>569</v>
      </c>
      <c r="D52" s="325">
        <f>'5. Nutrients'!G18</f>
        <v>5015.6359790693759</v>
      </c>
      <c r="E52" s="60" t="s">
        <v>83</v>
      </c>
      <c r="G52" s="60"/>
    </row>
    <row r="53" spans="1:7" s="60" customFormat="1" x14ac:dyDescent="0.3">
      <c r="A53" s="65"/>
      <c r="B53" s="65" t="s">
        <v>558</v>
      </c>
      <c r="C53" s="65"/>
      <c r="D53" s="326" t="str">
        <f>'5. Nutrients'!I39</f>
        <v>-</v>
      </c>
      <c r="E53" s="65" t="s">
        <v>84</v>
      </c>
    </row>
    <row r="54" spans="1:7" s="53" customFormat="1" x14ac:dyDescent="0.3">
      <c r="C54" s="53" t="s">
        <v>392</v>
      </c>
      <c r="D54" s="327" t="str">
        <f>'5. Nutrients'!E40</f>
        <v>-</v>
      </c>
      <c r="E54" s="53" t="s">
        <v>80</v>
      </c>
      <c r="G54" s="60"/>
    </row>
    <row r="55" spans="1:7" s="53" customFormat="1" x14ac:dyDescent="0.3">
      <c r="C55" s="53" t="s">
        <v>394</v>
      </c>
      <c r="D55" s="328" t="str">
        <f>'5. Nutrients'!E42</f>
        <v>-</v>
      </c>
      <c r="E55" s="53" t="s">
        <v>562</v>
      </c>
      <c r="G55" s="60"/>
    </row>
    <row r="56" spans="1:7" s="53" customFormat="1" x14ac:dyDescent="0.3">
      <c r="C56" s="53" t="s">
        <v>395</v>
      </c>
      <c r="D56" s="328" t="str">
        <f>'5. Nutrients'!E43</f>
        <v>-</v>
      </c>
      <c r="E56" s="53" t="s">
        <v>562</v>
      </c>
      <c r="G56" s="60"/>
    </row>
    <row r="57" spans="1:7" s="53" customFormat="1" x14ac:dyDescent="0.3">
      <c r="C57" s="53" t="s">
        <v>396</v>
      </c>
      <c r="D57" s="328" t="str">
        <f>'5. Nutrients'!E44</f>
        <v>-</v>
      </c>
      <c r="E57" s="53" t="s">
        <v>562</v>
      </c>
      <c r="G57" s="60"/>
    </row>
    <row r="58" spans="1:7" s="53" customFormat="1" x14ac:dyDescent="0.3">
      <c r="C58" s="53" t="s">
        <v>397</v>
      </c>
      <c r="D58" s="328" t="str">
        <f>'5. Nutrients'!E45</f>
        <v>-</v>
      </c>
      <c r="E58" s="53" t="s">
        <v>562</v>
      </c>
      <c r="G58" s="60"/>
    </row>
    <row r="59" spans="1:7" s="60" customFormat="1" x14ac:dyDescent="0.3">
      <c r="A59" s="65"/>
      <c r="B59" s="65" t="s">
        <v>559</v>
      </c>
      <c r="C59" s="65"/>
      <c r="D59" s="326" t="str">
        <f>'5. Nutrients'!I29</f>
        <v>-</v>
      </c>
      <c r="E59" s="65" t="s">
        <v>84</v>
      </c>
    </row>
    <row r="60" spans="1:7" s="53" customFormat="1" x14ac:dyDescent="0.3">
      <c r="C60" s="53" t="s">
        <v>392</v>
      </c>
      <c r="D60" s="327" t="str">
        <f>'5. Nutrients'!E30</f>
        <v>-</v>
      </c>
      <c r="E60" s="53" t="s">
        <v>80</v>
      </c>
      <c r="G60" s="60"/>
    </row>
    <row r="61" spans="1:7" s="53" customFormat="1" x14ac:dyDescent="0.3">
      <c r="C61" s="53" t="s">
        <v>394</v>
      </c>
      <c r="D61" s="328" t="str">
        <f>'5. Nutrients'!E32</f>
        <v>-</v>
      </c>
      <c r="E61" s="53" t="s">
        <v>562</v>
      </c>
      <c r="G61" s="60"/>
    </row>
    <row r="62" spans="1:7" s="53" customFormat="1" x14ac:dyDescent="0.3">
      <c r="C62" s="53" t="s">
        <v>395</v>
      </c>
      <c r="D62" s="328" t="str">
        <f>'5. Nutrients'!E33</f>
        <v>-</v>
      </c>
      <c r="E62" s="53" t="s">
        <v>562</v>
      </c>
      <c r="G62" s="60"/>
    </row>
    <row r="63" spans="1:7" s="53" customFormat="1" x14ac:dyDescent="0.3">
      <c r="C63" s="53" t="s">
        <v>396</v>
      </c>
      <c r="D63" s="328" t="str">
        <f>'5. Nutrients'!E34</f>
        <v>-</v>
      </c>
      <c r="E63" s="53" t="s">
        <v>562</v>
      </c>
      <c r="G63" s="60"/>
    </row>
    <row r="64" spans="1:7" s="53" customFormat="1" x14ac:dyDescent="0.3">
      <c r="C64" s="53" t="s">
        <v>397</v>
      </c>
      <c r="D64" s="328" t="str">
        <f>'5. Nutrients'!E35</f>
        <v>-</v>
      </c>
      <c r="E64" s="53" t="s">
        <v>562</v>
      </c>
      <c r="G64" s="60"/>
    </row>
    <row r="65" spans="1:7" s="53" customFormat="1" x14ac:dyDescent="0.3">
      <c r="A65" s="17" t="s">
        <v>459</v>
      </c>
      <c r="B65" s="17"/>
      <c r="C65" s="17"/>
      <c r="D65" s="17"/>
      <c r="E65" s="17"/>
    </row>
    <row r="66" spans="1:7" s="60" customFormat="1" x14ac:dyDescent="0.3">
      <c r="A66" s="65"/>
      <c r="B66" s="65" t="s">
        <v>341</v>
      </c>
      <c r="C66" s="65"/>
      <c r="D66" s="324"/>
      <c r="E66" s="65"/>
    </row>
    <row r="67" spans="1:7" s="53" customFormat="1" x14ac:dyDescent="0.3">
      <c r="C67" s="53" t="str">
        <f>'7. Revenues and costs'!B7</f>
        <v>Cost savings from using heat energy in own company</v>
      </c>
      <c r="D67" s="56">
        <f>'7. Revenues and costs'!G7</f>
        <v>51447.174768226672</v>
      </c>
      <c r="E67" s="53" t="s">
        <v>77</v>
      </c>
      <c r="G67" s="60"/>
    </row>
    <row r="68" spans="1:7" s="53" customFormat="1" x14ac:dyDescent="0.3">
      <c r="C68" s="53" t="str">
        <f>'7. Revenues and costs'!B8</f>
        <v>Cost savings from using electricity within in own company</v>
      </c>
      <c r="D68" s="56">
        <f>'7. Revenues and costs'!G8</f>
        <v>35127.195076024829</v>
      </c>
      <c r="E68" s="53" t="s">
        <v>77</v>
      </c>
      <c r="G68" s="60"/>
    </row>
    <row r="69" spans="1:7" s="53" customFormat="1" x14ac:dyDescent="0.3">
      <c r="C69" s="53" t="str">
        <f>'7. Revenues and costs'!B9</f>
        <v>Cost savings from using uncompressed biomethane in own company</v>
      </c>
      <c r="D69" s="56">
        <f>'7. Revenues and costs'!G9</f>
        <v>0</v>
      </c>
      <c r="E69" s="53" t="s">
        <v>77</v>
      </c>
      <c r="G69" s="60"/>
    </row>
    <row r="70" spans="1:7" s="53" customFormat="1" x14ac:dyDescent="0.3">
      <c r="C70" s="53" t="str">
        <f>'7. Revenues and costs'!B10</f>
        <v>Cost savings from using compressed biomethane in own company (own filling station)</v>
      </c>
      <c r="D70" s="56">
        <f>'7. Revenues and costs'!G10</f>
        <v>0</v>
      </c>
      <c r="E70" s="53" t="s">
        <v>77</v>
      </c>
      <c r="G70" s="60"/>
    </row>
    <row r="71" spans="1:7" s="53" customFormat="1" x14ac:dyDescent="0.3">
      <c r="C71" s="53" t="str">
        <f>'7. Revenues and costs'!B11</f>
        <v>Sale of heat energy</v>
      </c>
      <c r="D71" s="56">
        <f>'7. Revenues and costs'!G11</f>
        <v>0</v>
      </c>
      <c r="E71" s="53" t="s">
        <v>77</v>
      </c>
      <c r="G71" s="60"/>
    </row>
    <row r="72" spans="1:7" s="53" customFormat="1" x14ac:dyDescent="0.3">
      <c r="C72" s="53" t="str">
        <f>'7. Revenues and costs'!B12</f>
        <v>Sale of electricity</v>
      </c>
      <c r="D72" s="56">
        <f>'7. Revenues and costs'!G12</f>
        <v>0</v>
      </c>
      <c r="E72" s="53" t="s">
        <v>77</v>
      </c>
      <c r="G72" s="60"/>
    </row>
    <row r="73" spans="1:7" s="53" customFormat="1" x14ac:dyDescent="0.3">
      <c r="C73" s="53" t="str">
        <f>'7. Revenues and costs'!B13</f>
        <v>Biomethane production for a reseller (uncompressed gas)</v>
      </c>
      <c r="D73" s="56">
        <f>'7. Revenues and costs'!G13</f>
        <v>0</v>
      </c>
      <c r="E73" s="53" t="s">
        <v>77</v>
      </c>
      <c r="G73" s="60"/>
    </row>
    <row r="74" spans="1:7" s="53" customFormat="1" x14ac:dyDescent="0.3">
      <c r="C74" s="53" t="str">
        <f>'7. Revenues and costs'!B14</f>
        <v>Compressed biomethane production and sales to customers from own filling station</v>
      </c>
      <c r="D74" s="56">
        <f>'7. Revenues and costs'!G14</f>
        <v>0</v>
      </c>
      <c r="E74" s="53" t="s">
        <v>77</v>
      </c>
      <c r="G74" s="60"/>
    </row>
    <row r="75" spans="1:7" s="53" customFormat="1" x14ac:dyDescent="0.3">
      <c r="C75" s="53" t="str">
        <f>'7. Revenues and costs'!B15</f>
        <v>Transfer and sale as raw biogas</v>
      </c>
      <c r="D75" s="56">
        <f>'7. Revenues and costs'!G15</f>
        <v>0</v>
      </c>
      <c r="E75" s="53" t="s">
        <v>77</v>
      </c>
      <c r="G75" s="60"/>
    </row>
    <row r="76" spans="1:7" s="60" customFormat="1" x14ac:dyDescent="0.3">
      <c r="A76" s="65"/>
      <c r="B76" s="65" t="s">
        <v>466</v>
      </c>
      <c r="C76" s="65"/>
      <c r="D76" s="324"/>
      <c r="E76" s="65"/>
    </row>
    <row r="77" spans="1:7" s="53" customFormat="1" x14ac:dyDescent="0.3">
      <c r="C77" s="53" t="s">
        <v>560</v>
      </c>
      <c r="D77" s="56">
        <f>'7. Revenues and costs'!G17</f>
        <v>0</v>
      </c>
      <c r="E77" s="53" t="s">
        <v>77</v>
      </c>
      <c r="G77" s="60"/>
    </row>
    <row r="78" spans="1:7" s="60" customFormat="1" x14ac:dyDescent="0.3">
      <c r="A78" s="65"/>
      <c r="B78" s="65" t="s">
        <v>465</v>
      </c>
      <c r="C78" s="65"/>
      <c r="D78" s="324"/>
      <c r="E78" s="65"/>
    </row>
    <row r="79" spans="1:7" s="53" customFormat="1" x14ac:dyDescent="0.3">
      <c r="C79" s="53" t="s">
        <v>561</v>
      </c>
      <c r="D79" s="56">
        <f>'7. Revenues and costs'!G19</f>
        <v>6520.3267727901894</v>
      </c>
      <c r="E79" s="53" t="s">
        <v>77</v>
      </c>
      <c r="G79" s="60"/>
    </row>
    <row r="80" spans="1:7" s="60" customFormat="1" x14ac:dyDescent="0.3">
      <c r="A80" s="65"/>
      <c r="B80" s="65" t="s">
        <v>475</v>
      </c>
      <c r="C80" s="65"/>
      <c r="D80" s="324">
        <f>SUM(D67:D79)</f>
        <v>93094.696617041685</v>
      </c>
      <c r="E80" s="65" t="s">
        <v>77</v>
      </c>
    </row>
    <row r="81" spans="1:7" s="53" customFormat="1" x14ac:dyDescent="0.3">
      <c r="A81" s="17" t="s">
        <v>476</v>
      </c>
      <c r="B81" s="17"/>
      <c r="C81" s="17"/>
      <c r="D81" s="17"/>
      <c r="E81" s="17"/>
    </row>
    <row r="82" spans="1:7" s="60" customFormat="1" x14ac:dyDescent="0.3">
      <c r="A82" s="65"/>
      <c r="B82" s="65" t="s">
        <v>563</v>
      </c>
      <c r="C82" s="65"/>
      <c r="D82" s="324"/>
      <c r="E82" s="65"/>
      <c r="G82" s="53"/>
    </row>
    <row r="83" spans="1:7" s="53" customFormat="1" x14ac:dyDescent="0.3">
      <c r="C83" s="53" t="str">
        <f>'7. Revenues and costs'!B27</f>
        <v>Production cost of solid feedstock (e.g. grass silage)</v>
      </c>
      <c r="D83" s="56">
        <f>'7. Revenues and costs'!G27</f>
        <v>20000</v>
      </c>
      <c r="E83" s="53" t="s">
        <v>77</v>
      </c>
    </row>
    <row r="84" spans="1:7" s="53" customFormat="1" x14ac:dyDescent="0.3">
      <c r="C84" s="53" t="str">
        <f>'7. Revenues and costs'!B28</f>
        <v>Handling of solid feedstock, e.g. loading into a crusher</v>
      </c>
      <c r="D84" s="56">
        <f>'7. Revenues and costs'!G28</f>
        <v>0</v>
      </c>
      <c r="E84" s="53" t="s">
        <v>77</v>
      </c>
    </row>
    <row r="85" spans="1:7" s="53" customFormat="1" x14ac:dyDescent="0.3">
      <c r="C85" s="53" t="str">
        <f>'7. Revenues and costs'!B29</f>
        <v>Further processing of liquid feedstock</v>
      </c>
      <c r="D85" s="56">
        <f>'7. Revenues and costs'!G29</f>
        <v>0</v>
      </c>
      <c r="E85" s="53" t="s">
        <v>77</v>
      </c>
    </row>
    <row r="86" spans="1:7" s="53" customFormat="1" x14ac:dyDescent="0.3">
      <c r="C86" s="53" t="str">
        <f>'7. Revenues and costs'!B30</f>
        <v>Transport of raw material</v>
      </c>
      <c r="D86" s="56">
        <f>'7. Revenues and costs'!G30</f>
        <v>0</v>
      </c>
      <c r="E86" s="53" t="s">
        <v>77</v>
      </c>
    </row>
    <row r="87" spans="1:7" s="53" customFormat="1" x14ac:dyDescent="0.3">
      <c r="C87" s="53" t="str">
        <f>'7. Revenues and costs'!B31</f>
        <v>Handling, transport, and spreading of the digestate</v>
      </c>
      <c r="D87" s="56">
        <f>'7. Revenues and costs'!G31</f>
        <v>0</v>
      </c>
      <c r="E87" s="53" t="s">
        <v>77</v>
      </c>
    </row>
    <row r="88" spans="1:7" s="53" customFormat="1" x14ac:dyDescent="0.3">
      <c r="A88" s="319"/>
      <c r="B88" s="65" t="s">
        <v>486</v>
      </c>
      <c r="C88" s="65"/>
      <c r="D88" s="65"/>
      <c r="E88" s="319"/>
    </row>
    <row r="89" spans="1:7" s="53" customFormat="1" x14ac:dyDescent="0.3">
      <c r="C89" s="53" t="str">
        <f>'7. Revenues and costs'!B33</f>
        <v>Purchased electricity</v>
      </c>
      <c r="D89" s="56">
        <f>'7. Revenues and costs'!G33</f>
        <v>0</v>
      </c>
      <c r="E89" s="53" t="s">
        <v>77</v>
      </c>
    </row>
    <row r="90" spans="1:7" s="53" customFormat="1" x14ac:dyDescent="0.3">
      <c r="C90" s="53" t="str">
        <f>'7. Revenues and costs'!B34</f>
        <v>Purchased heat (thermal energy)</v>
      </c>
      <c r="D90" s="56">
        <f>'7. Revenues and costs'!G34</f>
        <v>0</v>
      </c>
      <c r="E90" s="53" t="s">
        <v>77</v>
      </c>
    </row>
    <row r="91" spans="1:7" s="53" customFormat="1" x14ac:dyDescent="0.3">
      <c r="C91" s="53" t="str">
        <f>'7. Revenues and costs'!B35</f>
        <v>Cost of dilution water for the feedstock</v>
      </c>
      <c r="D91" s="56">
        <f>'7. Revenues and costs'!G35</f>
        <v>0</v>
      </c>
      <c r="E91" s="53" t="s">
        <v>77</v>
      </c>
    </row>
    <row r="92" spans="1:7" s="53" customFormat="1" x14ac:dyDescent="0.3">
      <c r="C92" s="53" t="str">
        <f>'7. Revenues and costs'!B36</f>
        <v>Chemical and process water costs</v>
      </c>
      <c r="D92" s="56">
        <f>'7. Revenues and costs'!G36</f>
        <v>0</v>
      </c>
      <c r="E92" s="53" t="s">
        <v>77</v>
      </c>
    </row>
    <row r="93" spans="1:7" s="53" customFormat="1" x14ac:dyDescent="0.3">
      <c r="A93" s="319"/>
      <c r="B93" s="65" t="s">
        <v>564</v>
      </c>
      <c r="C93" s="65"/>
      <c r="D93" s="65"/>
      <c r="E93" s="319"/>
    </row>
    <row r="94" spans="1:7" s="53" customFormat="1" x14ac:dyDescent="0.3">
      <c r="C94" s="53" t="str">
        <f>'7. Revenues and costs'!B38</f>
        <v>CHP unit</v>
      </c>
      <c r="D94" s="202">
        <f>'7. Revenues and costs'!G38</f>
        <v>4777.237657049619</v>
      </c>
      <c r="E94" s="53" t="s">
        <v>77</v>
      </c>
    </row>
    <row r="95" spans="1:7" s="53" customFormat="1" x14ac:dyDescent="0.3">
      <c r="C95" s="53" t="str">
        <f>'7. Revenues and costs'!B39</f>
        <v>Upgrading of biogas to biomethane</v>
      </c>
      <c r="D95" s="202">
        <f>'7. Revenues and costs'!G39</f>
        <v>0</v>
      </c>
      <c r="E95" s="53" t="s">
        <v>77</v>
      </c>
    </row>
    <row r="96" spans="1:7" s="53" customFormat="1" x14ac:dyDescent="0.3">
      <c r="C96" s="53" t="str">
        <f>'7. Revenues and costs'!B40</f>
        <v>Biomethane filling station</v>
      </c>
      <c r="D96" s="202">
        <f>'7. Revenues and costs'!G40</f>
        <v>0</v>
      </c>
      <c r="E96" s="53" t="s">
        <v>77</v>
      </c>
    </row>
    <row r="97" spans="1:7" s="53" customFormat="1" x14ac:dyDescent="0.3">
      <c r="C97" s="53" t="str">
        <f>'7. Revenues and costs'!B41</f>
        <v>Other plant technology and structures</v>
      </c>
      <c r="D97" s="202">
        <f>'7. Revenues and costs'!G41</f>
        <v>10851</v>
      </c>
      <c r="E97" s="53" t="s">
        <v>77</v>
      </c>
    </row>
    <row r="98" spans="1:7" s="53" customFormat="1" x14ac:dyDescent="0.3">
      <c r="C98" s="53" t="str">
        <f>'7. Revenues and costs'!B42</f>
        <v>Hygienisation unit (and other hygienisation related equipment)</v>
      </c>
      <c r="D98" s="202">
        <f>'7. Revenues and costs'!G42</f>
        <v>0</v>
      </c>
      <c r="E98" s="53" t="s">
        <v>77</v>
      </c>
    </row>
    <row r="99" spans="1:7" s="53" customFormat="1" x14ac:dyDescent="0.3">
      <c r="C99" s="53" t="str">
        <f>'7. Revenues and costs'!B43</f>
        <v>Other machinery work</v>
      </c>
      <c r="D99" s="202">
        <f>'7. Revenues and costs'!G43</f>
        <v>0</v>
      </c>
      <c r="E99" s="53" t="s">
        <v>77</v>
      </c>
    </row>
    <row r="100" spans="1:7" s="53" customFormat="1" x14ac:dyDescent="0.3">
      <c r="C100" s="53" t="str">
        <f>'7. Revenues and costs'!B44</f>
        <v>Daily work (inspection + minor repairs)</v>
      </c>
      <c r="D100" s="202">
        <f>'7. Revenues and costs'!G44</f>
        <v>4708.5</v>
      </c>
      <c r="E100" s="53" t="s">
        <v>77</v>
      </c>
    </row>
    <row r="101" spans="1:7" s="53" customFormat="1" x14ac:dyDescent="0.3">
      <c r="C101" s="53" t="str">
        <f>'7. Revenues and costs'!B45</f>
        <v>Administrative work</v>
      </c>
      <c r="D101" s="202">
        <f>'7. Revenues and costs'!G45</f>
        <v>0</v>
      </c>
      <c r="E101" s="53" t="s">
        <v>77</v>
      </c>
    </row>
    <row r="102" spans="1:7" s="53" customFormat="1" x14ac:dyDescent="0.3">
      <c r="A102" s="319"/>
      <c r="B102" s="65" t="s">
        <v>498</v>
      </c>
      <c r="C102" s="65"/>
      <c r="D102" s="65"/>
      <c r="E102" s="319"/>
    </row>
    <row r="103" spans="1:7" s="53" customFormat="1" x14ac:dyDescent="0.3">
      <c r="C103" s="53" t="s">
        <v>499</v>
      </c>
      <c r="D103" s="56">
        <f>'7. Revenues and costs'!G47</f>
        <v>4041</v>
      </c>
      <c r="E103" s="53" t="s">
        <v>77</v>
      </c>
    </row>
    <row r="104" spans="1:7" s="53" customFormat="1" x14ac:dyDescent="0.3">
      <c r="C104" s="53" t="s">
        <v>500</v>
      </c>
      <c r="D104" s="53">
        <f>'7. Revenues and costs'!G48</f>
        <v>0</v>
      </c>
      <c r="E104" s="53" t="s">
        <v>77</v>
      </c>
    </row>
    <row r="105" spans="1:7" s="53" customFormat="1" x14ac:dyDescent="0.3">
      <c r="A105" s="319"/>
      <c r="B105" s="65" t="s">
        <v>477</v>
      </c>
      <c r="C105" s="65"/>
      <c r="D105" s="324">
        <f>SUM(D83:D104)</f>
        <v>44377.73765704962</v>
      </c>
      <c r="E105" s="319" t="s">
        <v>77</v>
      </c>
    </row>
    <row r="106" spans="1:7" x14ac:dyDescent="0.3">
      <c r="A106" s="17" t="s">
        <v>565</v>
      </c>
      <c r="B106" s="17"/>
      <c r="C106" s="17"/>
      <c r="D106" s="17"/>
      <c r="E106" s="17"/>
      <c r="G106" s="53"/>
    </row>
    <row r="107" spans="1:7" s="53" customFormat="1" x14ac:dyDescent="0.3">
      <c r="C107" s="53" t="s">
        <v>566</v>
      </c>
      <c r="D107" s="56">
        <f>'6. Investments'!D54</f>
        <v>808200</v>
      </c>
      <c r="E107" s="78" t="s">
        <v>77</v>
      </c>
    </row>
    <row r="108" spans="1:7" s="53" customFormat="1" x14ac:dyDescent="0.3">
      <c r="A108" s="319"/>
      <c r="B108" s="65" t="s">
        <v>567</v>
      </c>
      <c r="C108" s="65"/>
      <c r="D108" s="65"/>
      <c r="E108" s="65"/>
    </row>
    <row r="109" spans="1:7" s="53" customFormat="1" x14ac:dyDescent="0.3">
      <c r="C109" s="53" t="s">
        <v>510</v>
      </c>
      <c r="D109" s="56">
        <f>'8. Profitability'!B6*100</f>
        <v>50</v>
      </c>
      <c r="E109" s="53" t="s">
        <v>80</v>
      </c>
    </row>
    <row r="110" spans="1:7" s="53" customFormat="1" x14ac:dyDescent="0.3">
      <c r="C110" s="53" t="s">
        <v>509</v>
      </c>
      <c r="D110" s="56">
        <f>'8. Profitability'!B7</f>
        <v>404100</v>
      </c>
      <c r="E110" s="53" t="s">
        <v>77</v>
      </c>
    </row>
    <row r="111" spans="1:7" s="53" customFormat="1" x14ac:dyDescent="0.3">
      <c r="C111" s="53" t="s">
        <v>511</v>
      </c>
      <c r="D111" s="56">
        <f>'8. Profitability'!B8</f>
        <v>404100</v>
      </c>
      <c r="E111" s="53" t="s">
        <v>77</v>
      </c>
    </row>
    <row r="112" spans="1:7" s="53" customFormat="1" x14ac:dyDescent="0.3">
      <c r="A112" s="17" t="s">
        <v>507</v>
      </c>
      <c r="B112" s="17"/>
      <c r="C112" s="17"/>
      <c r="D112" s="17"/>
      <c r="E112" s="17"/>
    </row>
    <row r="113" spans="1:5" s="53" customFormat="1" x14ac:dyDescent="0.3">
      <c r="A113" s="319"/>
      <c r="B113" s="65" t="s">
        <v>519</v>
      </c>
      <c r="C113" s="65"/>
      <c r="D113" s="65"/>
      <c r="E113" s="65"/>
    </row>
    <row r="114" spans="1:5" s="53" customFormat="1" x14ac:dyDescent="0.3">
      <c r="C114" s="53" t="s">
        <v>578</v>
      </c>
      <c r="D114" s="53">
        <f>'8. Profitability'!B9*100</f>
        <v>5</v>
      </c>
      <c r="E114" s="53" t="s">
        <v>80</v>
      </c>
    </row>
    <row r="115" spans="1:5" s="53" customFormat="1" x14ac:dyDescent="0.3">
      <c r="C115" s="53" t="s">
        <v>516</v>
      </c>
      <c r="D115" s="56">
        <f>'8. Profitability'!B14</f>
        <v>38544.407059209298</v>
      </c>
      <c r="E115" s="53" t="s">
        <v>77</v>
      </c>
    </row>
    <row r="116" spans="1:5" s="53" customFormat="1" x14ac:dyDescent="0.3">
      <c r="C116" s="53" t="s">
        <v>503</v>
      </c>
      <c r="D116" s="56">
        <f>'8. Profitability'!B15</f>
        <v>48716.958959992066</v>
      </c>
      <c r="E116" s="53" t="s">
        <v>77</v>
      </c>
    </row>
    <row r="117" spans="1:5" s="53" customFormat="1" x14ac:dyDescent="0.3">
      <c r="C117" s="60" t="s">
        <v>517</v>
      </c>
      <c r="D117" s="325">
        <f>'8. Profitability'!B16</f>
        <v>10172.551900782768</v>
      </c>
      <c r="E117" s="60" t="s">
        <v>77</v>
      </c>
    </row>
    <row r="118" spans="1:5" s="53" customFormat="1" x14ac:dyDescent="0.3">
      <c r="A118" s="319"/>
      <c r="B118" s="65" t="s">
        <v>513</v>
      </c>
      <c r="C118" s="65"/>
      <c r="D118" s="65"/>
      <c r="E118" s="65"/>
    </row>
    <row r="119" spans="1:5" s="53" customFormat="1" x14ac:dyDescent="0.3">
      <c r="C119" s="60" t="s">
        <v>568</v>
      </c>
      <c r="D119" s="329">
        <f>'8. Profitability'!B18</f>
        <v>8.2948527294542327</v>
      </c>
      <c r="E119" s="60" t="s">
        <v>85</v>
      </c>
    </row>
    <row r="120" spans="1:5" s="53" customFormat="1" x14ac:dyDescent="0.3"/>
    <row r="121" spans="1:5" s="53" customFormat="1" x14ac:dyDescent="0.3"/>
    <row r="122" spans="1:5" s="53" customFormat="1" x14ac:dyDescent="0.3"/>
    <row r="123" spans="1:5" s="53" customFormat="1" x14ac:dyDescent="0.3"/>
    <row r="124" spans="1:5" s="53" customFormat="1" x14ac:dyDescent="0.3"/>
    <row r="125" spans="1:5" s="53" customFormat="1" x14ac:dyDescent="0.3"/>
    <row r="126" spans="1:5" s="53" customFormat="1" x14ac:dyDescent="0.3"/>
    <row r="127" spans="1:5" s="53" customFormat="1" x14ac:dyDescent="0.3"/>
    <row r="128" spans="1:5" s="53" customFormat="1" x14ac:dyDescent="0.3"/>
    <row r="129" s="53" customFormat="1" x14ac:dyDescent="0.3"/>
    <row r="130" s="53" customFormat="1" x14ac:dyDescent="0.3"/>
    <row r="131" s="53" customFormat="1" x14ac:dyDescent="0.3"/>
    <row r="132" s="53" customFormat="1" x14ac:dyDescent="0.3"/>
    <row r="133" s="53" customFormat="1" x14ac:dyDescent="0.3"/>
  </sheetData>
  <sheetProtection algorithmName="SHA-512" hashValue="BGoUbjphcWKcd7FCTgFyIyYR/76munJj/YJ1r2CA/Jg8Y+IR6Um1vHRxb6C2K/fWSS6JTpz80ZfGapuqd3riTQ==" saltValue="LYbjGy9ZQc7U3deTInJqN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31551-F1AC-4390-83E0-0204759F4F84}">
  <dimension ref="A1:U76"/>
  <sheetViews>
    <sheetView zoomScaleNormal="100" workbookViewId="0">
      <pane ySplit="3" topLeftCell="A4" activePane="bottomLeft" state="frozen"/>
      <selection pane="bottomLeft" activeCell="B13" sqref="B13"/>
    </sheetView>
  </sheetViews>
  <sheetFormatPr defaultColWidth="12.21875" defaultRowHeight="14.4" x14ac:dyDescent="0.3"/>
  <cols>
    <col min="1" max="1" width="3.21875" style="16" customWidth="1"/>
    <col min="2" max="2" width="38.109375" style="16" customWidth="1"/>
    <col min="3" max="4" width="9" style="16" customWidth="1"/>
    <col min="5" max="5" width="10.77734375" style="16" customWidth="1"/>
    <col min="6" max="6" width="9" style="16" customWidth="1"/>
    <col min="7" max="7" width="11.109375" style="16" customWidth="1"/>
    <col min="8" max="14" width="9" style="16" customWidth="1"/>
    <col min="15" max="15" width="24" style="16" customWidth="1"/>
    <col min="16" max="16" width="12.21875" style="16"/>
    <col min="17" max="17" width="12.21875" style="33"/>
    <col min="18" max="16384" width="12.21875" style="16"/>
  </cols>
  <sheetData>
    <row r="1" spans="1:21" ht="24" thickBot="1" x14ac:dyDescent="0.5">
      <c r="A1" s="12" t="s">
        <v>267</v>
      </c>
      <c r="B1" s="13"/>
      <c r="C1" s="13"/>
      <c r="D1" s="13"/>
      <c r="E1" s="13"/>
      <c r="F1" s="13"/>
      <c r="G1" s="13"/>
      <c r="H1" s="13"/>
      <c r="I1" s="13"/>
      <c r="J1" s="13"/>
      <c r="K1" s="13"/>
      <c r="L1" s="13"/>
      <c r="M1" s="13"/>
      <c r="N1" s="13"/>
      <c r="O1" s="14"/>
      <c r="P1" s="14"/>
      <c r="Q1" s="15"/>
      <c r="R1" s="14"/>
      <c r="S1" s="14"/>
      <c r="T1" s="14"/>
      <c r="U1" s="14"/>
    </row>
    <row r="2" spans="1:21" ht="16.2" thickTop="1" x14ac:dyDescent="0.3">
      <c r="A2" s="17"/>
      <c r="B2" s="17"/>
      <c r="C2" s="17" t="s">
        <v>196</v>
      </c>
      <c r="D2" s="17" t="s">
        <v>198</v>
      </c>
      <c r="E2" s="18" t="s">
        <v>273</v>
      </c>
      <c r="F2" s="17" t="s">
        <v>197</v>
      </c>
      <c r="G2" s="17" t="s">
        <v>1</v>
      </c>
      <c r="H2" s="17" t="s">
        <v>2</v>
      </c>
      <c r="I2" s="17" t="s">
        <v>268</v>
      </c>
      <c r="J2" s="17" t="s">
        <v>8</v>
      </c>
      <c r="K2" s="17" t="s">
        <v>3</v>
      </c>
      <c r="L2" s="19" t="s">
        <v>199</v>
      </c>
      <c r="M2" s="18" t="s">
        <v>269</v>
      </c>
      <c r="N2" s="18" t="s">
        <v>271</v>
      </c>
      <c r="O2" s="14"/>
      <c r="P2" s="14"/>
      <c r="Q2" s="20" t="s">
        <v>0</v>
      </c>
      <c r="R2" s="14"/>
      <c r="S2" s="14"/>
      <c r="T2" s="14"/>
      <c r="U2" s="14"/>
    </row>
    <row r="3" spans="1:21" ht="16.8" thickBot="1" x14ac:dyDescent="0.35">
      <c r="A3" s="17"/>
      <c r="B3" s="17"/>
      <c r="C3" s="17" t="s">
        <v>9</v>
      </c>
      <c r="D3" s="17" t="s">
        <v>4</v>
      </c>
      <c r="E3" s="18" t="s">
        <v>274</v>
      </c>
      <c r="F3" s="17" t="s">
        <v>4</v>
      </c>
      <c r="G3" s="19" t="s">
        <v>152</v>
      </c>
      <c r="H3" s="17" t="s">
        <v>5</v>
      </c>
      <c r="I3" s="17" t="s">
        <v>5</v>
      </c>
      <c r="J3" s="17" t="s">
        <v>5</v>
      </c>
      <c r="K3" s="17" t="s">
        <v>5</v>
      </c>
      <c r="L3" s="17" t="s">
        <v>4</v>
      </c>
      <c r="M3" s="17" t="s">
        <v>270</v>
      </c>
      <c r="N3" s="17" t="s">
        <v>272</v>
      </c>
      <c r="O3" s="14"/>
      <c r="P3" s="14"/>
      <c r="Q3" s="21" t="s">
        <v>10</v>
      </c>
      <c r="R3" s="14"/>
      <c r="S3" s="14"/>
      <c r="T3" s="14"/>
      <c r="U3" s="14"/>
    </row>
    <row r="4" spans="1:21" x14ac:dyDescent="0.3">
      <c r="A4" s="22" t="s">
        <v>265</v>
      </c>
      <c r="B4" s="23"/>
      <c r="C4" s="23"/>
      <c r="D4" s="23"/>
      <c r="E4" s="24"/>
      <c r="F4" s="23"/>
      <c r="G4" s="25"/>
      <c r="H4" s="23"/>
      <c r="I4" s="23"/>
      <c r="J4" s="23"/>
      <c r="K4" s="23"/>
      <c r="L4" s="23"/>
      <c r="M4" s="23"/>
      <c r="N4" s="23"/>
      <c r="O4" s="14"/>
      <c r="P4" s="14"/>
      <c r="Q4" s="26"/>
      <c r="R4" s="14"/>
      <c r="S4" s="14"/>
      <c r="T4" s="14"/>
      <c r="U4" s="14"/>
    </row>
    <row r="5" spans="1:21" x14ac:dyDescent="0.3">
      <c r="A5" s="14"/>
      <c r="B5" s="14" t="s">
        <v>183</v>
      </c>
      <c r="C5" s="27">
        <v>6000</v>
      </c>
      <c r="D5" s="28">
        <v>9</v>
      </c>
      <c r="E5" s="29">
        <v>80</v>
      </c>
      <c r="F5" s="28">
        <f t="shared" ref="F5:F14" si="0">D5*E5/100</f>
        <v>7.2</v>
      </c>
      <c r="G5" s="29">
        <v>200</v>
      </c>
      <c r="H5" s="28">
        <v>5</v>
      </c>
      <c r="I5" s="28">
        <v>2.9</v>
      </c>
      <c r="J5" s="28">
        <v>0.9</v>
      </c>
      <c r="K5" s="28">
        <v>4.5</v>
      </c>
      <c r="L5" s="29">
        <v>65</v>
      </c>
      <c r="M5" s="28">
        <v>9.5</v>
      </c>
      <c r="N5" s="30" t="s">
        <v>202</v>
      </c>
      <c r="O5" s="31" t="s">
        <v>606</v>
      </c>
      <c r="P5" s="14"/>
      <c r="Q5" s="32">
        <f t="shared" ref="Q5:Q42" si="1">C5*D5/100*E5/100</f>
        <v>432</v>
      </c>
      <c r="R5" s="14"/>
      <c r="S5" s="14"/>
      <c r="T5" s="14"/>
      <c r="U5" s="14"/>
    </row>
    <row r="6" spans="1:21" x14ac:dyDescent="0.3">
      <c r="A6" s="14"/>
      <c r="B6" s="14" t="s">
        <v>184</v>
      </c>
      <c r="C6" s="27"/>
      <c r="D6" s="28">
        <v>24</v>
      </c>
      <c r="E6" s="29">
        <v>85</v>
      </c>
      <c r="F6" s="28">
        <f t="shared" si="0"/>
        <v>20.399999999999999</v>
      </c>
      <c r="G6" s="29">
        <v>190</v>
      </c>
      <c r="H6" s="28">
        <v>6.4</v>
      </c>
      <c r="I6" s="28">
        <v>2.1</v>
      </c>
      <c r="J6" s="28">
        <v>1.3</v>
      </c>
      <c r="K6" s="28">
        <v>4.0999999999999996</v>
      </c>
      <c r="L6" s="29">
        <v>65</v>
      </c>
      <c r="M6" s="28">
        <v>4</v>
      </c>
      <c r="N6" s="30" t="s">
        <v>203</v>
      </c>
      <c r="O6" s="14"/>
      <c r="P6" s="14"/>
      <c r="Q6" s="32">
        <f t="shared" ref="Q6:Q16" si="2">C6*D6/100*E6/100</f>
        <v>0</v>
      </c>
      <c r="R6" s="14"/>
      <c r="S6" s="14"/>
      <c r="T6" s="14"/>
      <c r="U6" s="14"/>
    </row>
    <row r="7" spans="1:21" x14ac:dyDescent="0.3">
      <c r="A7" s="14"/>
      <c r="B7" s="14" t="s">
        <v>185</v>
      </c>
      <c r="C7" s="27"/>
      <c r="D7" s="28">
        <v>30</v>
      </c>
      <c r="E7" s="29">
        <v>85</v>
      </c>
      <c r="F7" s="28">
        <f t="shared" si="0"/>
        <v>25.5</v>
      </c>
      <c r="G7" s="29">
        <v>200</v>
      </c>
      <c r="H7" s="28">
        <v>5.4</v>
      </c>
      <c r="I7" s="28">
        <v>1.9</v>
      </c>
      <c r="J7" s="28">
        <v>1</v>
      </c>
      <c r="K7" s="28">
        <v>5</v>
      </c>
      <c r="L7" s="29">
        <v>65</v>
      </c>
      <c r="M7" s="28">
        <v>4</v>
      </c>
      <c r="N7" s="30" t="s">
        <v>203</v>
      </c>
      <c r="O7" s="14"/>
      <c r="P7" s="14"/>
      <c r="Q7" s="32">
        <f t="shared" si="2"/>
        <v>0</v>
      </c>
      <c r="R7" s="14"/>
      <c r="S7" s="14"/>
      <c r="T7" s="14"/>
      <c r="U7" s="14"/>
    </row>
    <row r="8" spans="1:21" x14ac:dyDescent="0.3">
      <c r="A8" s="14"/>
      <c r="B8" s="14" t="s">
        <v>186</v>
      </c>
      <c r="C8" s="27"/>
      <c r="D8" s="28">
        <v>8.1999999999999993</v>
      </c>
      <c r="E8" s="29">
        <v>82</v>
      </c>
      <c r="F8" s="28">
        <f t="shared" si="0"/>
        <v>6.7240000000000002</v>
      </c>
      <c r="G8" s="29">
        <v>320</v>
      </c>
      <c r="H8" s="28">
        <v>4.5999999999999996</v>
      </c>
      <c r="I8" s="28">
        <v>2.9</v>
      </c>
      <c r="J8" s="28">
        <v>1</v>
      </c>
      <c r="K8" s="28">
        <v>1.7</v>
      </c>
      <c r="L8" s="29">
        <v>65</v>
      </c>
      <c r="M8" s="28">
        <v>9.5</v>
      </c>
      <c r="N8" s="30" t="s">
        <v>202</v>
      </c>
      <c r="O8" s="14"/>
      <c r="P8" s="14"/>
      <c r="Q8" s="32">
        <f t="shared" si="2"/>
        <v>0</v>
      </c>
      <c r="R8" s="14"/>
      <c r="S8" s="14"/>
      <c r="T8" s="14"/>
      <c r="U8" s="14"/>
    </row>
    <row r="9" spans="1:21" x14ac:dyDescent="0.3">
      <c r="A9" s="14"/>
      <c r="B9" s="14" t="s">
        <v>187</v>
      </c>
      <c r="C9" s="27"/>
      <c r="D9" s="28">
        <v>27</v>
      </c>
      <c r="E9" s="29">
        <v>82</v>
      </c>
      <c r="F9" s="28">
        <f t="shared" si="0"/>
        <v>22.14</v>
      </c>
      <c r="G9" s="29">
        <v>305</v>
      </c>
      <c r="H9" s="28">
        <v>4.5999999999999996</v>
      </c>
      <c r="I9" s="28">
        <v>1.5</v>
      </c>
      <c r="J9" s="28">
        <v>1.8</v>
      </c>
      <c r="K9" s="28">
        <v>0.9</v>
      </c>
      <c r="L9" s="29">
        <v>65</v>
      </c>
      <c r="M9" s="28">
        <v>4</v>
      </c>
      <c r="N9" s="30" t="s">
        <v>203</v>
      </c>
      <c r="O9" s="14"/>
      <c r="P9" s="14"/>
      <c r="Q9" s="32">
        <f t="shared" si="2"/>
        <v>0</v>
      </c>
      <c r="R9" s="14"/>
      <c r="S9" s="14"/>
      <c r="T9" s="14"/>
      <c r="U9" s="14"/>
    </row>
    <row r="10" spans="1:21" x14ac:dyDescent="0.3">
      <c r="A10" s="14"/>
      <c r="B10" s="14" t="s">
        <v>188</v>
      </c>
      <c r="C10" s="27"/>
      <c r="D10" s="28">
        <v>21</v>
      </c>
      <c r="E10" s="29">
        <v>85</v>
      </c>
      <c r="F10" s="28">
        <f t="shared" si="0"/>
        <v>17.850000000000001</v>
      </c>
      <c r="G10" s="29">
        <v>230</v>
      </c>
      <c r="H10" s="28">
        <v>8.1999999999999993</v>
      </c>
      <c r="I10" s="28">
        <v>3.6</v>
      </c>
      <c r="J10" s="28">
        <v>2.9</v>
      </c>
      <c r="K10" s="28">
        <v>4</v>
      </c>
      <c r="L10" s="29">
        <v>65</v>
      </c>
      <c r="M10" s="28">
        <v>4</v>
      </c>
      <c r="N10" s="30" t="s">
        <v>203</v>
      </c>
      <c r="O10" s="14"/>
      <c r="P10" s="14"/>
      <c r="Q10" s="32">
        <f t="shared" si="2"/>
        <v>0</v>
      </c>
      <c r="R10" s="14"/>
      <c r="S10" s="14"/>
      <c r="T10" s="14"/>
      <c r="U10" s="14"/>
    </row>
    <row r="11" spans="1:21" x14ac:dyDescent="0.3">
      <c r="A11" s="14"/>
      <c r="B11" s="14" t="s">
        <v>189</v>
      </c>
      <c r="C11" s="27"/>
      <c r="D11" s="28">
        <v>45</v>
      </c>
      <c r="E11" s="29">
        <v>72</v>
      </c>
      <c r="F11" s="28">
        <f t="shared" si="0"/>
        <v>32.4</v>
      </c>
      <c r="G11" s="29">
        <v>225</v>
      </c>
      <c r="H11" s="28">
        <v>16.7</v>
      </c>
      <c r="I11" s="28">
        <v>6</v>
      </c>
      <c r="J11" s="28">
        <v>7.7</v>
      </c>
      <c r="K11" s="28">
        <v>9.5</v>
      </c>
      <c r="L11" s="29">
        <v>65</v>
      </c>
      <c r="M11" s="28">
        <v>4</v>
      </c>
      <c r="N11" s="30" t="s">
        <v>203</v>
      </c>
      <c r="O11" s="14"/>
      <c r="P11" s="14"/>
      <c r="Q11" s="32">
        <f t="shared" si="2"/>
        <v>0</v>
      </c>
      <c r="R11" s="14"/>
      <c r="S11" s="14"/>
      <c r="T11" s="14"/>
      <c r="U11" s="14"/>
    </row>
    <row r="12" spans="1:21" x14ac:dyDescent="0.3">
      <c r="A12" s="14"/>
      <c r="B12" s="14" t="s">
        <v>190</v>
      </c>
      <c r="C12" s="27"/>
      <c r="D12" s="28">
        <v>68</v>
      </c>
      <c r="E12" s="29">
        <v>85</v>
      </c>
      <c r="F12" s="28">
        <f t="shared" si="0"/>
        <v>57.8</v>
      </c>
      <c r="G12" s="29">
        <v>155</v>
      </c>
      <c r="H12" s="28">
        <v>27.3</v>
      </c>
      <c r="I12" s="28">
        <v>6.7</v>
      </c>
      <c r="J12" s="28">
        <v>12</v>
      </c>
      <c r="K12" s="28">
        <v>20</v>
      </c>
      <c r="L12" s="29">
        <v>65</v>
      </c>
      <c r="M12" s="28">
        <v>4</v>
      </c>
      <c r="N12" s="30" t="s">
        <v>203</v>
      </c>
      <c r="O12" s="14"/>
      <c r="P12" s="14"/>
      <c r="Q12" s="32">
        <f t="shared" si="2"/>
        <v>0</v>
      </c>
      <c r="R12" s="14"/>
      <c r="S12" s="14"/>
      <c r="T12" s="14"/>
      <c r="U12" s="14"/>
    </row>
    <row r="13" spans="1:21" x14ac:dyDescent="0.3">
      <c r="A13" s="14"/>
      <c r="B13" s="14" t="s">
        <v>191</v>
      </c>
      <c r="C13" s="27"/>
      <c r="D13" s="28">
        <v>35</v>
      </c>
      <c r="E13" s="29">
        <v>75</v>
      </c>
      <c r="F13" s="28">
        <f t="shared" si="0"/>
        <v>26.25</v>
      </c>
      <c r="G13" s="29">
        <v>260</v>
      </c>
      <c r="H13" s="28">
        <v>18.600000000000001</v>
      </c>
      <c r="I13" s="28">
        <v>9.5</v>
      </c>
      <c r="J13" s="28">
        <v>6.1</v>
      </c>
      <c r="K13" s="28">
        <v>9</v>
      </c>
      <c r="L13" s="29">
        <v>65</v>
      </c>
      <c r="M13" s="28">
        <v>4</v>
      </c>
      <c r="N13" s="30" t="s">
        <v>203</v>
      </c>
      <c r="O13" s="14"/>
      <c r="P13" s="14"/>
      <c r="Q13" s="32">
        <f t="shared" si="2"/>
        <v>0</v>
      </c>
      <c r="R13" s="14"/>
      <c r="S13" s="14"/>
      <c r="T13" s="14"/>
      <c r="U13" s="14"/>
    </row>
    <row r="14" spans="1:21" x14ac:dyDescent="0.3">
      <c r="A14" s="14"/>
      <c r="B14" s="14" t="s">
        <v>192</v>
      </c>
      <c r="C14" s="27"/>
      <c r="D14" s="28">
        <v>35</v>
      </c>
      <c r="E14" s="29">
        <v>80</v>
      </c>
      <c r="F14" s="28">
        <f t="shared" si="0"/>
        <v>28</v>
      </c>
      <c r="G14" s="29">
        <v>100</v>
      </c>
      <c r="H14" s="28">
        <v>9.1</v>
      </c>
      <c r="I14" s="28">
        <v>2</v>
      </c>
      <c r="J14" s="28">
        <v>2.1</v>
      </c>
      <c r="K14" s="28">
        <v>11.6</v>
      </c>
      <c r="L14" s="29">
        <v>65</v>
      </c>
      <c r="M14" s="28">
        <v>4</v>
      </c>
      <c r="N14" s="30" t="s">
        <v>203</v>
      </c>
      <c r="O14" s="14"/>
      <c r="P14" s="14"/>
      <c r="Q14" s="32">
        <f t="shared" si="2"/>
        <v>0</v>
      </c>
      <c r="R14" s="14"/>
      <c r="S14" s="14"/>
      <c r="T14" s="14"/>
      <c r="U14" s="14"/>
    </row>
    <row r="15" spans="1:21" x14ac:dyDescent="0.3">
      <c r="A15" s="14"/>
      <c r="B15" s="14" t="s">
        <v>193</v>
      </c>
      <c r="C15" s="27"/>
      <c r="D15" s="28">
        <v>33</v>
      </c>
      <c r="E15" s="29">
        <v>78</v>
      </c>
      <c r="F15" s="28">
        <f t="shared" ref="F15" si="3">D15*E15/100</f>
        <v>25.74</v>
      </c>
      <c r="G15" s="29">
        <v>200</v>
      </c>
      <c r="H15" s="28">
        <v>5</v>
      </c>
      <c r="I15" s="28">
        <v>1</v>
      </c>
      <c r="J15" s="28">
        <v>1</v>
      </c>
      <c r="K15" s="28">
        <v>5</v>
      </c>
      <c r="L15" s="29">
        <v>65</v>
      </c>
      <c r="M15" s="28">
        <v>4</v>
      </c>
      <c r="N15" s="30" t="s">
        <v>203</v>
      </c>
      <c r="O15" s="14"/>
      <c r="P15" s="14"/>
      <c r="Q15" s="32">
        <f t="shared" si="2"/>
        <v>0</v>
      </c>
      <c r="R15" s="14"/>
      <c r="S15" s="14"/>
      <c r="T15" s="14"/>
      <c r="U15" s="14"/>
    </row>
    <row r="16" spans="1:21" x14ac:dyDescent="0.3">
      <c r="A16" s="14"/>
      <c r="B16" s="14" t="s">
        <v>194</v>
      </c>
      <c r="C16" s="27"/>
      <c r="D16" s="28">
        <v>39</v>
      </c>
      <c r="E16" s="29">
        <v>78</v>
      </c>
      <c r="F16" s="28">
        <f>D16*E16/100</f>
        <v>30.42</v>
      </c>
      <c r="G16" s="29">
        <v>200</v>
      </c>
      <c r="H16" s="28">
        <v>11.3</v>
      </c>
      <c r="I16" s="28">
        <v>3</v>
      </c>
      <c r="J16" s="28">
        <v>16.399999999999999</v>
      </c>
      <c r="K16" s="28">
        <v>2</v>
      </c>
      <c r="L16" s="29">
        <v>65</v>
      </c>
      <c r="M16" s="28">
        <v>4</v>
      </c>
      <c r="N16" s="30" t="s">
        <v>203</v>
      </c>
      <c r="O16" s="14"/>
      <c r="P16" s="14"/>
      <c r="Q16" s="32">
        <f t="shared" si="2"/>
        <v>0</v>
      </c>
      <c r="R16" s="14"/>
      <c r="S16" s="14"/>
      <c r="T16" s="14"/>
      <c r="U16" s="14"/>
    </row>
    <row r="17" spans="1:21" x14ac:dyDescent="0.3">
      <c r="A17" s="22" t="s">
        <v>195</v>
      </c>
      <c r="B17" s="23"/>
      <c r="C17" s="23"/>
      <c r="D17" s="23"/>
      <c r="E17" s="24"/>
      <c r="F17" s="23"/>
      <c r="G17" s="25"/>
      <c r="H17" s="23"/>
      <c r="I17" s="23"/>
      <c r="J17" s="23"/>
      <c r="K17" s="23"/>
      <c r="L17" s="23"/>
      <c r="M17" s="23"/>
      <c r="N17" s="23"/>
      <c r="O17" s="14"/>
      <c r="P17" s="14"/>
      <c r="Q17" s="26"/>
      <c r="R17" s="14"/>
      <c r="S17" s="14"/>
      <c r="T17" s="14"/>
      <c r="U17" s="14"/>
    </row>
    <row r="18" spans="1:21" x14ac:dyDescent="0.3">
      <c r="A18" s="14"/>
      <c r="B18" s="14" t="s">
        <v>252</v>
      </c>
      <c r="C18" s="27"/>
      <c r="D18" s="28">
        <v>27</v>
      </c>
      <c r="E18" s="29">
        <v>90</v>
      </c>
      <c r="F18" s="28">
        <f t="shared" ref="F18:F26" si="4">D18*E18/100</f>
        <v>24.3</v>
      </c>
      <c r="G18" s="29">
        <v>450</v>
      </c>
      <c r="H18" s="28">
        <v>5.4</v>
      </c>
      <c r="I18" s="28">
        <v>2.7</v>
      </c>
      <c r="J18" s="28">
        <v>1.1000000000000001</v>
      </c>
      <c r="K18" s="28">
        <v>2.7</v>
      </c>
      <c r="L18" s="29">
        <v>65</v>
      </c>
      <c r="M18" s="28">
        <v>4</v>
      </c>
      <c r="N18" s="30" t="s">
        <v>203</v>
      </c>
      <c r="O18" s="14"/>
      <c r="P18" s="14"/>
      <c r="Q18" s="32"/>
      <c r="R18" s="14"/>
      <c r="S18" s="14"/>
      <c r="T18" s="14"/>
      <c r="U18" s="14"/>
    </row>
    <row r="19" spans="1:21" x14ac:dyDescent="0.3">
      <c r="A19" s="14"/>
      <c r="B19" s="14" t="s">
        <v>253</v>
      </c>
      <c r="C19" s="27"/>
      <c r="D19" s="28">
        <v>28</v>
      </c>
      <c r="E19" s="29">
        <v>85</v>
      </c>
      <c r="F19" s="28">
        <f t="shared" si="4"/>
        <v>23.8</v>
      </c>
      <c r="G19" s="29">
        <v>520</v>
      </c>
      <c r="H19" s="28">
        <v>30.8</v>
      </c>
      <c r="I19" s="28">
        <v>15.4</v>
      </c>
      <c r="J19" s="28">
        <v>9.5</v>
      </c>
      <c r="K19" s="28">
        <v>2.8</v>
      </c>
      <c r="L19" s="29">
        <v>65</v>
      </c>
      <c r="M19" s="28">
        <v>4</v>
      </c>
      <c r="N19" s="30" t="s">
        <v>203</v>
      </c>
      <c r="O19" s="14"/>
      <c r="P19" s="14"/>
      <c r="Q19" s="32">
        <f>C19*D19/100*E19/100</f>
        <v>0</v>
      </c>
      <c r="R19" s="14"/>
      <c r="S19" s="14"/>
      <c r="T19" s="14"/>
      <c r="U19" s="14"/>
    </row>
    <row r="20" spans="1:21" x14ac:dyDescent="0.3">
      <c r="A20" s="14"/>
      <c r="B20" s="14" t="s">
        <v>254</v>
      </c>
      <c r="C20" s="27"/>
      <c r="D20" s="28">
        <v>17</v>
      </c>
      <c r="E20" s="29">
        <v>85</v>
      </c>
      <c r="F20" s="28">
        <f t="shared" si="4"/>
        <v>14.45</v>
      </c>
      <c r="G20" s="29">
        <v>520</v>
      </c>
      <c r="H20" s="28">
        <v>27</v>
      </c>
      <c r="I20" s="28">
        <v>13.5</v>
      </c>
      <c r="J20" s="28">
        <v>9.1999999999999993</v>
      </c>
      <c r="K20" s="28">
        <v>2.7</v>
      </c>
      <c r="L20" s="29">
        <v>65</v>
      </c>
      <c r="M20" s="28">
        <v>4</v>
      </c>
      <c r="N20" s="30" t="s">
        <v>203</v>
      </c>
      <c r="O20" s="14"/>
      <c r="P20" s="14"/>
      <c r="Q20" s="32"/>
      <c r="R20" s="14"/>
      <c r="S20" s="14"/>
      <c r="T20" s="14"/>
      <c r="U20" s="14"/>
    </row>
    <row r="21" spans="1:21" x14ac:dyDescent="0.3">
      <c r="A21" s="14"/>
      <c r="B21" s="14" t="s">
        <v>255</v>
      </c>
      <c r="C21" s="27"/>
      <c r="D21" s="28">
        <v>71</v>
      </c>
      <c r="E21" s="29">
        <v>99</v>
      </c>
      <c r="F21" s="28">
        <f t="shared" si="4"/>
        <v>70.290000000000006</v>
      </c>
      <c r="G21" s="29">
        <v>730</v>
      </c>
      <c r="H21" s="28">
        <v>8.1</v>
      </c>
      <c r="I21" s="28">
        <v>0.1</v>
      </c>
      <c r="J21" s="28">
        <v>1.3</v>
      </c>
      <c r="K21" s="28">
        <v>1.2</v>
      </c>
      <c r="L21" s="29">
        <v>70</v>
      </c>
      <c r="M21" s="28">
        <v>4</v>
      </c>
      <c r="N21" s="30" t="s">
        <v>203</v>
      </c>
      <c r="O21" s="14"/>
      <c r="P21" s="14"/>
      <c r="Q21" s="32">
        <f t="shared" ref="Q21:Q26" si="5">C21*D21/100*E21/100</f>
        <v>0</v>
      </c>
      <c r="R21" s="14"/>
      <c r="S21" s="14"/>
      <c r="T21" s="14"/>
      <c r="U21" s="14"/>
    </row>
    <row r="22" spans="1:21" x14ac:dyDescent="0.3">
      <c r="A22" s="14"/>
      <c r="B22" s="14" t="s">
        <v>256</v>
      </c>
      <c r="C22" s="27"/>
      <c r="D22" s="28">
        <v>66</v>
      </c>
      <c r="E22" s="29">
        <v>90</v>
      </c>
      <c r="F22" s="28">
        <f t="shared" si="4"/>
        <v>59.4</v>
      </c>
      <c r="G22" s="29">
        <v>400</v>
      </c>
      <c r="H22" s="28">
        <v>15.2</v>
      </c>
      <c r="I22" s="28">
        <v>7.6</v>
      </c>
      <c r="J22" s="28">
        <v>1.3</v>
      </c>
      <c r="K22" s="28">
        <v>6.6</v>
      </c>
      <c r="L22" s="29">
        <v>65</v>
      </c>
      <c r="M22" s="28">
        <v>4</v>
      </c>
      <c r="N22" s="30" t="s">
        <v>203</v>
      </c>
      <c r="O22" s="14"/>
      <c r="P22" s="14"/>
      <c r="Q22" s="32">
        <f t="shared" si="5"/>
        <v>0</v>
      </c>
      <c r="R22" s="14"/>
      <c r="S22" s="14"/>
      <c r="T22" s="14"/>
      <c r="U22" s="14"/>
    </row>
    <row r="23" spans="1:21" x14ac:dyDescent="0.3">
      <c r="A23" s="14"/>
      <c r="B23" s="14" t="s">
        <v>257</v>
      </c>
      <c r="C23" s="27"/>
      <c r="D23" s="28">
        <v>6</v>
      </c>
      <c r="E23" s="29">
        <v>90</v>
      </c>
      <c r="F23" s="28">
        <f t="shared" si="4"/>
        <v>5.4</v>
      </c>
      <c r="G23" s="29">
        <v>420</v>
      </c>
      <c r="H23" s="28">
        <v>3</v>
      </c>
      <c r="I23" s="28">
        <v>1.5</v>
      </c>
      <c r="J23" s="28">
        <v>0.5</v>
      </c>
      <c r="K23" s="28">
        <v>1.4</v>
      </c>
      <c r="L23" s="29">
        <v>65</v>
      </c>
      <c r="M23" s="28">
        <v>4</v>
      </c>
      <c r="N23" s="30" t="s">
        <v>203</v>
      </c>
      <c r="O23" s="14"/>
      <c r="P23" s="14"/>
      <c r="Q23" s="32">
        <f t="shared" si="5"/>
        <v>0</v>
      </c>
      <c r="R23" s="14"/>
      <c r="S23" s="14"/>
      <c r="T23" s="14"/>
      <c r="U23" s="14"/>
    </row>
    <row r="24" spans="1:21" x14ac:dyDescent="0.3">
      <c r="A24" s="14"/>
      <c r="B24" s="14" t="s">
        <v>258</v>
      </c>
      <c r="C24" s="27"/>
      <c r="D24" s="28">
        <v>90</v>
      </c>
      <c r="E24" s="29">
        <v>95</v>
      </c>
      <c r="F24" s="28">
        <f t="shared" si="4"/>
        <v>85.5</v>
      </c>
      <c r="G24" s="29">
        <v>380</v>
      </c>
      <c r="H24" s="28">
        <v>13.5</v>
      </c>
      <c r="I24" s="28">
        <v>6.8</v>
      </c>
      <c r="J24" s="28">
        <v>3.6</v>
      </c>
      <c r="K24" s="28">
        <v>9</v>
      </c>
      <c r="L24" s="29">
        <v>50</v>
      </c>
      <c r="M24" s="28">
        <v>4</v>
      </c>
      <c r="N24" s="30" t="s">
        <v>203</v>
      </c>
      <c r="O24" s="14"/>
      <c r="P24" s="14"/>
      <c r="Q24" s="32">
        <f t="shared" si="5"/>
        <v>0</v>
      </c>
      <c r="R24" s="14"/>
      <c r="S24" s="14"/>
      <c r="T24" s="14"/>
      <c r="U24" s="14"/>
    </row>
    <row r="25" spans="1:21" x14ac:dyDescent="0.3">
      <c r="A25" s="14"/>
      <c r="B25" s="14" t="s">
        <v>259</v>
      </c>
      <c r="C25" s="27"/>
      <c r="D25" s="28">
        <v>40</v>
      </c>
      <c r="E25" s="29">
        <v>90</v>
      </c>
      <c r="F25" s="28">
        <f t="shared" si="4"/>
        <v>36</v>
      </c>
      <c r="G25" s="29">
        <v>800</v>
      </c>
      <c r="H25" s="28">
        <v>1.2</v>
      </c>
      <c r="I25" s="28">
        <v>0.4</v>
      </c>
      <c r="J25" s="28">
        <v>0.4</v>
      </c>
      <c r="K25" s="28">
        <v>4</v>
      </c>
      <c r="L25" s="29">
        <v>70</v>
      </c>
      <c r="M25" s="28">
        <v>4</v>
      </c>
      <c r="N25" s="30" t="s">
        <v>203</v>
      </c>
      <c r="O25" s="14"/>
      <c r="P25" s="14"/>
      <c r="Q25" s="32">
        <f t="shared" si="5"/>
        <v>0</v>
      </c>
      <c r="R25" s="14"/>
      <c r="S25" s="14"/>
      <c r="T25" s="14"/>
      <c r="U25" s="14"/>
    </row>
    <row r="26" spans="1:21" x14ac:dyDescent="0.3">
      <c r="A26" s="14"/>
      <c r="B26" s="14" t="s">
        <v>260</v>
      </c>
      <c r="C26" s="27"/>
      <c r="D26" s="28">
        <v>35</v>
      </c>
      <c r="E26" s="29">
        <v>90</v>
      </c>
      <c r="F26" s="28">
        <f t="shared" si="4"/>
        <v>31.5</v>
      </c>
      <c r="G26" s="29">
        <v>600</v>
      </c>
      <c r="H26" s="28">
        <v>32</v>
      </c>
      <c r="I26" s="28">
        <v>16</v>
      </c>
      <c r="J26" s="28">
        <v>4</v>
      </c>
      <c r="K26" s="28">
        <v>4</v>
      </c>
      <c r="L26" s="29">
        <v>65</v>
      </c>
      <c r="M26" s="28">
        <v>4</v>
      </c>
      <c r="N26" s="30" t="s">
        <v>203</v>
      </c>
      <c r="O26" s="14"/>
      <c r="P26" s="14"/>
      <c r="Q26" s="32">
        <f t="shared" si="5"/>
        <v>0</v>
      </c>
      <c r="R26" s="14"/>
      <c r="S26" s="14"/>
      <c r="T26" s="14"/>
      <c r="U26" s="14"/>
    </row>
    <row r="27" spans="1:21" x14ac:dyDescent="0.3">
      <c r="A27" s="14"/>
      <c r="B27" s="14" t="s">
        <v>261</v>
      </c>
      <c r="C27" s="27"/>
      <c r="D27" s="28">
        <v>11</v>
      </c>
      <c r="E27" s="29">
        <v>92</v>
      </c>
      <c r="F27" s="28">
        <f t="shared" ref="F27:F42" si="6">D27*E27/100</f>
        <v>10.119999999999999</v>
      </c>
      <c r="G27" s="29">
        <v>400</v>
      </c>
      <c r="H27" s="28">
        <v>1.8</v>
      </c>
      <c r="I27" s="28">
        <v>0.9</v>
      </c>
      <c r="J27" s="28">
        <v>0.2</v>
      </c>
      <c r="K27" s="28">
        <v>2.2000000000000002</v>
      </c>
      <c r="L27" s="29">
        <v>55</v>
      </c>
      <c r="M27" s="28">
        <v>4</v>
      </c>
      <c r="N27" s="30" t="s">
        <v>203</v>
      </c>
      <c r="O27" s="14"/>
      <c r="P27" s="14"/>
      <c r="Q27" s="32">
        <f t="shared" si="1"/>
        <v>0</v>
      </c>
      <c r="R27" s="14"/>
      <c r="S27" s="14"/>
      <c r="T27" s="14"/>
      <c r="U27" s="14"/>
    </row>
    <row r="28" spans="1:21" x14ac:dyDescent="0.3">
      <c r="A28" s="14"/>
      <c r="B28" s="14" t="s">
        <v>262</v>
      </c>
      <c r="C28" s="27"/>
      <c r="D28" s="28">
        <v>87</v>
      </c>
      <c r="E28" s="29">
        <v>90</v>
      </c>
      <c r="F28" s="28">
        <f>D28*E28/100</f>
        <v>78.3</v>
      </c>
      <c r="G28" s="29">
        <v>230</v>
      </c>
      <c r="H28" s="28">
        <v>4.4000000000000004</v>
      </c>
      <c r="I28" s="28">
        <v>2.2000000000000002</v>
      </c>
      <c r="J28" s="28">
        <v>0.9</v>
      </c>
      <c r="K28" s="28">
        <v>13.1</v>
      </c>
      <c r="L28" s="29">
        <v>55</v>
      </c>
      <c r="M28" s="28">
        <v>4</v>
      </c>
      <c r="N28" s="30" t="s">
        <v>203</v>
      </c>
      <c r="O28" s="14"/>
      <c r="P28" s="14"/>
      <c r="Q28" s="32">
        <f>C28*D28/100*E28/100</f>
        <v>0</v>
      </c>
      <c r="R28" s="14"/>
      <c r="S28" s="14"/>
      <c r="T28" s="14"/>
      <c r="U28" s="14"/>
    </row>
    <row r="29" spans="1:21" x14ac:dyDescent="0.3">
      <c r="A29" s="14"/>
      <c r="B29" s="14" t="s">
        <v>263</v>
      </c>
      <c r="C29" s="27"/>
      <c r="D29" s="28">
        <v>95</v>
      </c>
      <c r="E29" s="29">
        <v>99</v>
      </c>
      <c r="F29" s="28">
        <f>D29*E29/100</f>
        <v>94.05</v>
      </c>
      <c r="G29" s="29">
        <v>580</v>
      </c>
      <c r="H29" s="28">
        <v>0</v>
      </c>
      <c r="I29" s="28">
        <v>0</v>
      </c>
      <c r="J29" s="28">
        <v>0</v>
      </c>
      <c r="K29" s="28">
        <v>0</v>
      </c>
      <c r="L29" s="29">
        <v>70</v>
      </c>
      <c r="M29" s="28">
        <v>4</v>
      </c>
      <c r="N29" s="30" t="s">
        <v>202</v>
      </c>
      <c r="O29" s="14"/>
      <c r="P29" s="14"/>
      <c r="Q29" s="32">
        <f>C29*D29/100*E29/100</f>
        <v>0</v>
      </c>
      <c r="R29" s="14"/>
      <c r="S29" s="14"/>
      <c r="T29" s="14"/>
      <c r="U29" s="14"/>
    </row>
    <row r="30" spans="1:21" x14ac:dyDescent="0.3">
      <c r="A30" s="22" t="s">
        <v>264</v>
      </c>
      <c r="B30" s="23"/>
      <c r="C30" s="23"/>
      <c r="D30" s="23"/>
      <c r="E30" s="24"/>
      <c r="F30" s="23"/>
      <c r="G30" s="25"/>
      <c r="H30" s="23"/>
      <c r="I30" s="23"/>
      <c r="J30" s="23"/>
      <c r="K30" s="23"/>
      <c r="L30" s="23"/>
      <c r="M30" s="23"/>
      <c r="N30" s="23"/>
      <c r="O30" s="14"/>
      <c r="P30" s="14"/>
      <c r="Q30" s="26"/>
      <c r="R30" s="14"/>
      <c r="S30" s="14"/>
      <c r="T30" s="14"/>
      <c r="U30" s="14"/>
    </row>
    <row r="31" spans="1:21" x14ac:dyDescent="0.3">
      <c r="A31" s="14"/>
      <c r="B31" s="14" t="s">
        <v>288</v>
      </c>
      <c r="C31" s="27"/>
      <c r="D31" s="28">
        <v>20</v>
      </c>
      <c r="E31" s="29">
        <v>70</v>
      </c>
      <c r="F31" s="28">
        <f>D31*E31/100</f>
        <v>14</v>
      </c>
      <c r="G31" s="29">
        <v>300</v>
      </c>
      <c r="H31" s="28">
        <v>8</v>
      </c>
      <c r="I31" s="28">
        <v>3.2</v>
      </c>
      <c r="J31" s="28">
        <v>5</v>
      </c>
      <c r="K31" s="28">
        <v>2</v>
      </c>
      <c r="L31" s="29">
        <v>65</v>
      </c>
      <c r="M31" s="28">
        <v>9.5</v>
      </c>
      <c r="N31" s="30" t="s">
        <v>202</v>
      </c>
      <c r="O31" s="14"/>
      <c r="P31" s="14"/>
      <c r="Q31" s="32">
        <f>C31*D31/100*E31/100</f>
        <v>0</v>
      </c>
      <c r="R31" s="14"/>
      <c r="S31" s="14"/>
      <c r="T31" s="14"/>
      <c r="U31" s="14"/>
    </row>
    <row r="32" spans="1:21" x14ac:dyDescent="0.3">
      <c r="A32" s="14"/>
      <c r="B32" s="14" t="s">
        <v>289</v>
      </c>
      <c r="C32" s="27"/>
      <c r="D32" s="28">
        <v>20</v>
      </c>
      <c r="E32" s="29">
        <v>70</v>
      </c>
      <c r="F32" s="28">
        <f>D32*E32/100</f>
        <v>14</v>
      </c>
      <c r="G32" s="29">
        <v>100</v>
      </c>
      <c r="H32" s="28">
        <v>3</v>
      </c>
      <c r="I32" s="28">
        <v>1.2</v>
      </c>
      <c r="J32" s="28">
        <v>0.6</v>
      </c>
      <c r="K32" s="28">
        <v>2</v>
      </c>
      <c r="L32" s="29">
        <v>65</v>
      </c>
      <c r="M32" s="28">
        <v>9.5</v>
      </c>
      <c r="N32" s="30" t="s">
        <v>202</v>
      </c>
      <c r="O32" s="14"/>
      <c r="P32" s="14"/>
      <c r="Q32" s="32">
        <f>C32*D32/100*E32/100</f>
        <v>0</v>
      </c>
      <c r="R32" s="14"/>
      <c r="S32" s="14"/>
      <c r="T32" s="14"/>
      <c r="U32" s="14"/>
    </row>
    <row r="33" spans="1:21" x14ac:dyDescent="0.3">
      <c r="A33" s="14"/>
      <c r="B33" s="14" t="s">
        <v>290</v>
      </c>
      <c r="C33" s="27"/>
      <c r="D33" s="28">
        <v>20</v>
      </c>
      <c r="E33" s="29">
        <v>70</v>
      </c>
      <c r="F33" s="28">
        <f>D33*E33/100</f>
        <v>14</v>
      </c>
      <c r="G33" s="29">
        <v>130</v>
      </c>
      <c r="H33" s="28">
        <v>2.4</v>
      </c>
      <c r="I33" s="28">
        <v>1</v>
      </c>
      <c r="J33" s="28">
        <v>0.2</v>
      </c>
      <c r="K33" s="28">
        <v>2</v>
      </c>
      <c r="L33" s="29">
        <v>65</v>
      </c>
      <c r="M33" s="28">
        <v>9.5</v>
      </c>
      <c r="N33" s="30" t="s">
        <v>202</v>
      </c>
      <c r="O33" s="14"/>
      <c r="P33" s="14"/>
      <c r="Q33" s="32">
        <f>C33*D33/100*E33/100</f>
        <v>0</v>
      </c>
      <c r="R33" s="14"/>
      <c r="S33" s="14"/>
      <c r="T33" s="14"/>
      <c r="U33" s="14"/>
    </row>
    <row r="34" spans="1:21" x14ac:dyDescent="0.3">
      <c r="A34" s="14"/>
      <c r="B34" s="14" t="s">
        <v>291</v>
      </c>
      <c r="C34" s="27"/>
      <c r="D34" s="28">
        <v>20</v>
      </c>
      <c r="E34" s="29">
        <v>60</v>
      </c>
      <c r="F34" s="28">
        <f>D34*E34/100</f>
        <v>12</v>
      </c>
      <c r="G34" s="29">
        <v>300</v>
      </c>
      <c r="H34" s="28">
        <v>8</v>
      </c>
      <c r="I34" s="28">
        <v>3.2</v>
      </c>
      <c r="J34" s="28">
        <v>5</v>
      </c>
      <c r="K34" s="28">
        <v>2</v>
      </c>
      <c r="L34" s="29">
        <v>65</v>
      </c>
      <c r="M34" s="28">
        <v>9.5</v>
      </c>
      <c r="N34" s="30" t="s">
        <v>202</v>
      </c>
      <c r="O34" s="14"/>
      <c r="P34" s="14"/>
      <c r="Q34" s="32">
        <f>C34*D34/100*E34/100</f>
        <v>0</v>
      </c>
      <c r="R34" s="14"/>
      <c r="S34" s="14"/>
      <c r="T34" s="14"/>
      <c r="U34" s="14"/>
    </row>
    <row r="35" spans="1:21" x14ac:dyDescent="0.3">
      <c r="A35" s="22" t="s">
        <v>266</v>
      </c>
      <c r="B35" s="23"/>
      <c r="C35" s="23"/>
      <c r="D35" s="23"/>
      <c r="E35" s="24"/>
      <c r="F35" s="23"/>
      <c r="G35" s="25"/>
      <c r="H35" s="23"/>
      <c r="I35" s="23"/>
      <c r="J35" s="23"/>
      <c r="K35" s="23"/>
      <c r="L35" s="23"/>
      <c r="M35" s="23"/>
      <c r="N35" s="23"/>
      <c r="O35" s="14"/>
      <c r="P35" s="14"/>
      <c r="Q35" s="26"/>
      <c r="R35" s="14"/>
      <c r="S35" s="14"/>
      <c r="T35" s="14"/>
      <c r="U35" s="14"/>
    </row>
    <row r="36" spans="1:21" x14ac:dyDescent="0.3">
      <c r="A36" s="14"/>
      <c r="B36" s="14" t="s">
        <v>292</v>
      </c>
      <c r="C36" s="27">
        <v>1000</v>
      </c>
      <c r="D36" s="28">
        <v>30</v>
      </c>
      <c r="E36" s="29">
        <v>90</v>
      </c>
      <c r="F36" s="28">
        <f t="shared" ref="F36:F41" si="7">D36*E36/100</f>
        <v>27</v>
      </c>
      <c r="G36" s="29">
        <v>350</v>
      </c>
      <c r="H36" s="28">
        <v>7.7</v>
      </c>
      <c r="I36" s="28">
        <v>0.3</v>
      </c>
      <c r="J36" s="28">
        <v>0.9</v>
      </c>
      <c r="K36" s="28">
        <v>8.4</v>
      </c>
      <c r="L36" s="29">
        <v>55</v>
      </c>
      <c r="M36" s="28">
        <v>4</v>
      </c>
      <c r="N36" s="30" t="s">
        <v>203</v>
      </c>
      <c r="O36" s="14"/>
      <c r="P36" s="14"/>
      <c r="Q36" s="32">
        <f>C36*D36/100*E36/100</f>
        <v>270</v>
      </c>
      <c r="R36" s="14"/>
      <c r="S36" s="14"/>
      <c r="T36" s="14"/>
      <c r="U36" s="14"/>
    </row>
    <row r="37" spans="1:21" x14ac:dyDescent="0.3">
      <c r="A37" s="14"/>
      <c r="B37" s="14" t="s">
        <v>293</v>
      </c>
      <c r="C37" s="27"/>
      <c r="D37" s="28">
        <v>30</v>
      </c>
      <c r="E37" s="29">
        <v>90</v>
      </c>
      <c r="F37" s="28">
        <f t="shared" si="7"/>
        <v>27</v>
      </c>
      <c r="G37" s="29">
        <v>250</v>
      </c>
      <c r="H37" s="28">
        <v>4.8</v>
      </c>
      <c r="I37" s="28">
        <v>0.2</v>
      </c>
      <c r="J37" s="28">
        <v>1.2</v>
      </c>
      <c r="K37" s="28">
        <v>7.7</v>
      </c>
      <c r="L37" s="29">
        <v>55</v>
      </c>
      <c r="M37" s="28">
        <v>4</v>
      </c>
      <c r="N37" s="30" t="s">
        <v>203</v>
      </c>
      <c r="O37" s="14"/>
      <c r="P37" s="14"/>
      <c r="Q37" s="32"/>
      <c r="R37" s="14"/>
      <c r="S37" s="14"/>
      <c r="T37" s="14"/>
      <c r="U37" s="14"/>
    </row>
    <row r="38" spans="1:21" x14ac:dyDescent="0.3">
      <c r="A38" s="14"/>
      <c r="B38" s="16" t="s">
        <v>294</v>
      </c>
      <c r="C38" s="27"/>
      <c r="D38" s="28">
        <v>11</v>
      </c>
      <c r="E38" s="29">
        <v>85</v>
      </c>
      <c r="F38" s="28">
        <f t="shared" si="7"/>
        <v>9.35</v>
      </c>
      <c r="G38" s="29">
        <v>300</v>
      </c>
      <c r="H38" s="28">
        <v>2.4</v>
      </c>
      <c r="I38" s="28">
        <v>0.1</v>
      </c>
      <c r="J38" s="28">
        <v>0.2</v>
      </c>
      <c r="K38" s="28">
        <v>5.3</v>
      </c>
      <c r="L38" s="29">
        <v>55</v>
      </c>
      <c r="M38" s="28">
        <v>4</v>
      </c>
      <c r="N38" s="30" t="s">
        <v>203</v>
      </c>
      <c r="P38" s="14"/>
    </row>
    <row r="39" spans="1:21" x14ac:dyDescent="0.3">
      <c r="A39" s="14"/>
      <c r="B39" s="14" t="s">
        <v>295</v>
      </c>
      <c r="C39" s="27"/>
      <c r="D39" s="28">
        <v>85</v>
      </c>
      <c r="E39" s="29">
        <v>91</v>
      </c>
      <c r="F39" s="28">
        <f t="shared" si="7"/>
        <v>77.349999999999994</v>
      </c>
      <c r="G39" s="29">
        <v>280</v>
      </c>
      <c r="H39" s="28">
        <v>5.0999999999999996</v>
      </c>
      <c r="I39" s="28">
        <v>0.3</v>
      </c>
      <c r="J39" s="28">
        <v>0.9</v>
      </c>
      <c r="K39" s="28">
        <v>12.8</v>
      </c>
      <c r="L39" s="29">
        <v>55</v>
      </c>
      <c r="M39" s="28">
        <v>4</v>
      </c>
      <c r="N39" s="30" t="s">
        <v>203</v>
      </c>
      <c r="O39" s="14"/>
      <c r="P39" s="14"/>
      <c r="Q39" s="32">
        <f>C39*D39/100*E39/100</f>
        <v>0</v>
      </c>
      <c r="R39" s="14"/>
      <c r="S39" s="14"/>
      <c r="T39" s="14"/>
      <c r="U39" s="14"/>
    </row>
    <row r="40" spans="1:21" x14ac:dyDescent="0.3">
      <c r="A40" s="14"/>
      <c r="B40" s="14" t="s">
        <v>296</v>
      </c>
      <c r="C40" s="27"/>
      <c r="D40" s="28">
        <v>90</v>
      </c>
      <c r="E40" s="29">
        <v>92</v>
      </c>
      <c r="F40" s="28">
        <f t="shared" si="7"/>
        <v>82.8</v>
      </c>
      <c r="G40" s="29">
        <v>250</v>
      </c>
      <c r="H40" s="28">
        <v>14.4</v>
      </c>
      <c r="I40" s="28">
        <v>0.7</v>
      </c>
      <c r="J40" s="28">
        <v>0.9</v>
      </c>
      <c r="K40" s="28">
        <v>9</v>
      </c>
      <c r="L40" s="29">
        <v>65</v>
      </c>
      <c r="M40" s="28">
        <v>4</v>
      </c>
      <c r="N40" s="30" t="s">
        <v>203</v>
      </c>
      <c r="O40" s="14"/>
      <c r="P40" s="14"/>
      <c r="Q40" s="32"/>
      <c r="R40" s="14"/>
      <c r="S40" s="14"/>
      <c r="T40" s="14"/>
      <c r="U40" s="14"/>
    </row>
    <row r="41" spans="1:21" x14ac:dyDescent="0.3">
      <c r="A41" s="14"/>
      <c r="B41" s="14" t="s">
        <v>297</v>
      </c>
      <c r="C41" s="27"/>
      <c r="D41" s="28">
        <v>32</v>
      </c>
      <c r="E41" s="29">
        <v>97</v>
      </c>
      <c r="F41" s="28">
        <f t="shared" si="7"/>
        <v>31.04</v>
      </c>
      <c r="G41" s="29">
        <v>250</v>
      </c>
      <c r="H41" s="28">
        <v>3.2</v>
      </c>
      <c r="I41" s="28">
        <v>0.2</v>
      </c>
      <c r="J41" s="28">
        <v>0.3</v>
      </c>
      <c r="K41" s="28">
        <v>9.6</v>
      </c>
      <c r="L41" s="29">
        <v>55</v>
      </c>
      <c r="M41" s="28">
        <v>4</v>
      </c>
      <c r="N41" s="30" t="s">
        <v>203</v>
      </c>
      <c r="O41" s="14"/>
      <c r="P41" s="14"/>
      <c r="Q41" s="32">
        <f>C41*D41/100*E41/100</f>
        <v>0</v>
      </c>
      <c r="R41" s="14"/>
      <c r="S41" s="14"/>
      <c r="T41" s="14"/>
      <c r="U41" s="14"/>
    </row>
    <row r="42" spans="1:21" x14ac:dyDescent="0.3">
      <c r="A42" s="14"/>
      <c r="B42" s="14" t="s">
        <v>298</v>
      </c>
      <c r="C42" s="27"/>
      <c r="D42" s="28">
        <v>40</v>
      </c>
      <c r="E42" s="29">
        <v>90</v>
      </c>
      <c r="F42" s="28">
        <f t="shared" si="6"/>
        <v>36</v>
      </c>
      <c r="G42" s="29">
        <v>280</v>
      </c>
      <c r="H42" s="28">
        <v>5</v>
      </c>
      <c r="I42" s="28">
        <v>0.4</v>
      </c>
      <c r="J42" s="28">
        <v>0.6</v>
      </c>
      <c r="K42" s="28">
        <v>5.4</v>
      </c>
      <c r="L42" s="29">
        <v>55</v>
      </c>
      <c r="M42" s="28">
        <v>4</v>
      </c>
      <c r="N42" s="30" t="s">
        <v>203</v>
      </c>
      <c r="O42" s="14"/>
      <c r="P42" s="14"/>
      <c r="Q42" s="32">
        <f t="shared" si="1"/>
        <v>0</v>
      </c>
      <c r="R42" s="14"/>
      <c r="S42" s="14"/>
      <c r="T42" s="14"/>
      <c r="U42" s="14"/>
    </row>
    <row r="43" spans="1:21" x14ac:dyDescent="0.3">
      <c r="A43" s="22" t="s">
        <v>285</v>
      </c>
      <c r="B43" s="23"/>
      <c r="C43" s="23"/>
      <c r="D43" s="23"/>
      <c r="E43" s="24"/>
      <c r="F43" s="23"/>
      <c r="G43" s="25"/>
      <c r="H43" s="23"/>
      <c r="I43" s="23"/>
      <c r="J43" s="23"/>
      <c r="K43" s="23"/>
      <c r="L43" s="23"/>
      <c r="M43" s="23"/>
      <c r="N43" s="23"/>
      <c r="O43" s="14"/>
      <c r="P43" s="14"/>
      <c r="Q43" s="32"/>
      <c r="R43" s="14"/>
      <c r="S43" s="14"/>
      <c r="T43" s="14"/>
      <c r="U43" s="14"/>
    </row>
    <row r="44" spans="1:21" x14ac:dyDescent="0.3">
      <c r="A44" s="14"/>
      <c r="B44" s="29" t="s">
        <v>283</v>
      </c>
      <c r="C44" s="27"/>
      <c r="D44" s="28"/>
      <c r="E44" s="29"/>
      <c r="F44" s="28"/>
      <c r="G44" s="29"/>
      <c r="H44" s="28"/>
      <c r="I44" s="28"/>
      <c r="J44" s="28"/>
      <c r="K44" s="28"/>
      <c r="L44" s="29"/>
      <c r="M44" s="28"/>
      <c r="N44" s="30"/>
      <c r="O44" s="14"/>
      <c r="P44" s="14"/>
      <c r="Q44" s="32"/>
      <c r="R44" s="14"/>
      <c r="S44" s="14"/>
      <c r="T44" s="14"/>
      <c r="U44" s="14"/>
    </row>
    <row r="45" spans="1:21" x14ac:dyDescent="0.3">
      <c r="A45" s="14"/>
      <c r="B45" s="29" t="s">
        <v>284</v>
      </c>
      <c r="C45" s="27"/>
      <c r="D45" s="28"/>
      <c r="E45" s="29"/>
      <c r="F45" s="28"/>
      <c r="G45" s="29"/>
      <c r="H45" s="28"/>
      <c r="I45" s="28"/>
      <c r="J45" s="28"/>
      <c r="K45" s="28"/>
      <c r="L45" s="29"/>
      <c r="M45" s="28"/>
      <c r="N45" s="30"/>
      <c r="O45" s="14"/>
      <c r="P45" s="14"/>
      <c r="Q45" s="32"/>
      <c r="R45" s="14"/>
      <c r="S45" s="14"/>
      <c r="T45" s="14"/>
      <c r="U45" s="14"/>
    </row>
    <row r="46" spans="1:21" x14ac:dyDescent="0.3">
      <c r="A46" s="14"/>
      <c r="B46" s="334" t="s">
        <v>286</v>
      </c>
      <c r="C46" s="27"/>
      <c r="D46" s="34">
        <v>0</v>
      </c>
      <c r="E46" s="29">
        <v>0</v>
      </c>
      <c r="F46" s="29">
        <v>0</v>
      </c>
      <c r="G46" s="29">
        <v>0</v>
      </c>
      <c r="H46" s="29">
        <v>0</v>
      </c>
      <c r="I46" s="29">
        <v>0</v>
      </c>
      <c r="J46" s="29">
        <v>0</v>
      </c>
      <c r="K46" s="29">
        <v>0</v>
      </c>
      <c r="L46" s="29">
        <v>0</v>
      </c>
      <c r="M46" s="28">
        <v>9.5</v>
      </c>
      <c r="N46" s="30" t="s">
        <v>202</v>
      </c>
      <c r="O46" s="31"/>
      <c r="P46" s="14"/>
      <c r="Q46" s="32"/>
      <c r="R46" s="14"/>
      <c r="S46" s="14"/>
      <c r="T46" s="14"/>
      <c r="U46" s="14"/>
    </row>
    <row r="47" spans="1:21" x14ac:dyDescent="0.3">
      <c r="A47" s="17" t="s">
        <v>287</v>
      </c>
      <c r="B47" s="17"/>
      <c r="C47" s="17"/>
      <c r="D47" s="35">
        <f>SUMPRODUCT($C5:$C46,D5:D46)/$C48</f>
        <v>12</v>
      </c>
      <c r="E47" s="36">
        <f>F47/D47*100</f>
        <v>83.571428571428569</v>
      </c>
      <c r="F47" s="35">
        <f>SUMPRODUCT($C5:$C46,F5:F46)/$C48</f>
        <v>10.028571428571428</v>
      </c>
      <c r="G47" s="35">
        <f>SUMPRODUCT($Q5:$Q46,G5:G46)/$Q48</f>
        <v>257.69230769230768</v>
      </c>
      <c r="H47" s="35">
        <f>SUMPRODUCT($C5:$C46,H5:H46)/$C48</f>
        <v>5.3857142857142861</v>
      </c>
      <c r="I47" s="35">
        <f>SUMPRODUCT($C5:$C46,I5:I46)/$C48</f>
        <v>2.5285714285714285</v>
      </c>
      <c r="J47" s="35">
        <f>SUMPRODUCT($C5:$C46,J5:J46)/$C48</f>
        <v>0.9</v>
      </c>
      <c r="K47" s="35">
        <f>SUMPRODUCT($C5:$C46,K5:K46)/$C48</f>
        <v>5.0571428571428569</v>
      </c>
      <c r="L47" s="36" cm="1">
        <f t="array" ref="L47">SUMPRODUCT((C5:C46*F5:F46/100*G5:G46),L5:L46)/G48</f>
        <v>59.776119402985074</v>
      </c>
      <c r="M47" s="35">
        <f>SUMPRODUCT($C5:$C46,M5:M46)/$C48</f>
        <v>8.7142857142857135</v>
      </c>
      <c r="N47" s="17" t="s">
        <v>7</v>
      </c>
      <c r="O47" s="14"/>
      <c r="P47" s="14"/>
      <c r="Q47" s="37"/>
      <c r="R47" s="14"/>
      <c r="S47" s="14"/>
      <c r="T47" s="14"/>
      <c r="U47" s="14"/>
    </row>
    <row r="48" spans="1:21" s="43" customFormat="1" ht="15.6" x14ac:dyDescent="0.35">
      <c r="A48" s="38" t="s">
        <v>275</v>
      </c>
      <c r="B48" s="38"/>
      <c r="C48" s="39">
        <f>SUM(C5:C46)</f>
        <v>7000</v>
      </c>
      <c r="D48" s="39">
        <f>C48*D47/100</f>
        <v>840</v>
      </c>
      <c r="E48" s="39" t="s">
        <v>7</v>
      </c>
      <c r="F48" s="39">
        <f>C48*F47/100</f>
        <v>702</v>
      </c>
      <c r="G48" s="39">
        <f>Q48*G47</f>
        <v>180900</v>
      </c>
      <c r="H48" s="40">
        <f>$C48*H47/1000</f>
        <v>37.700000000000003</v>
      </c>
      <c r="I48" s="40">
        <f>$C48*I47/1000</f>
        <v>17.7</v>
      </c>
      <c r="J48" s="40">
        <f>$C48*J47/1000</f>
        <v>6.3</v>
      </c>
      <c r="K48" s="40">
        <f>$C48*K47/1000</f>
        <v>35.4</v>
      </c>
      <c r="L48" s="38" t="s">
        <v>7</v>
      </c>
      <c r="M48" s="38" t="s">
        <v>7</v>
      </c>
      <c r="N48" s="38" t="s">
        <v>7</v>
      </c>
      <c r="O48" s="41"/>
      <c r="P48" s="41"/>
      <c r="Q48" s="42">
        <f>SUM(Q5:Q46)</f>
        <v>702</v>
      </c>
      <c r="R48" s="41"/>
      <c r="S48" s="41"/>
      <c r="T48" s="41"/>
      <c r="U48" s="41"/>
    </row>
    <row r="49" spans="1:17" s="14" customFormat="1" x14ac:dyDescent="0.3">
      <c r="C49" s="44"/>
      <c r="Q49" s="15"/>
    </row>
    <row r="50" spans="1:17" s="14" customFormat="1" ht="16.8" x14ac:dyDescent="0.35">
      <c r="B50" s="14" t="s">
        <v>280</v>
      </c>
      <c r="C50" s="44">
        <f>G48</f>
        <v>180900</v>
      </c>
      <c r="E50" s="14" t="s">
        <v>281</v>
      </c>
      <c r="Q50" s="15"/>
    </row>
    <row r="51" spans="1:17" s="14" customFormat="1" x14ac:dyDescent="0.3">
      <c r="B51" s="201" t="s">
        <v>276</v>
      </c>
      <c r="C51" s="333">
        <f>G48*10</f>
        <v>1809000</v>
      </c>
      <c r="D51" s="31"/>
      <c r="E51" s="31" t="s">
        <v>282</v>
      </c>
      <c r="Q51" s="15"/>
    </row>
    <row r="52" spans="1:17" s="14" customFormat="1" x14ac:dyDescent="0.3">
      <c r="B52" s="45" t="s">
        <v>277</v>
      </c>
      <c r="C52" s="46">
        <f>G48*10/1000</f>
        <v>1809</v>
      </c>
      <c r="E52" s="31" t="s">
        <v>154</v>
      </c>
      <c r="H52" s="47"/>
      <c r="Q52" s="15"/>
    </row>
    <row r="53" spans="1:17" s="14" customFormat="1" x14ac:dyDescent="0.3">
      <c r="B53" s="14" t="s">
        <v>278</v>
      </c>
      <c r="C53" s="48">
        <f>C51/C48</f>
        <v>258.42857142857144</v>
      </c>
      <c r="Q53" s="15"/>
    </row>
    <row r="54" spans="1:17" s="14" customFormat="1" ht="16.8" x14ac:dyDescent="0.35">
      <c r="B54" s="14" t="s">
        <v>279</v>
      </c>
      <c r="C54" s="49">
        <f>C50/C48</f>
        <v>25.842857142857142</v>
      </c>
      <c r="Q54" s="15"/>
    </row>
    <row r="55" spans="1:17" s="14" customFormat="1" x14ac:dyDescent="0.3">
      <c r="A55" s="50"/>
      <c r="B55" s="50"/>
      <c r="C55" s="50"/>
      <c r="D55" s="50"/>
      <c r="E55" s="50"/>
      <c r="F55" s="50"/>
      <c r="G55" s="50"/>
      <c r="H55" s="50"/>
      <c r="I55" s="50"/>
      <c r="J55" s="50"/>
      <c r="K55" s="50"/>
      <c r="L55" s="50"/>
      <c r="M55" s="50"/>
      <c r="N55" s="50"/>
      <c r="Q55" s="15"/>
    </row>
    <row r="56" spans="1:17" s="14" customFormat="1" x14ac:dyDescent="0.3">
      <c r="Q56" s="15"/>
    </row>
    <row r="57" spans="1:17" s="190" customFormat="1" x14ac:dyDescent="0.3"/>
    <row r="58" spans="1:17" s="190" customFormat="1" x14ac:dyDescent="0.3"/>
    <row r="59" spans="1:17" s="190" customFormat="1" x14ac:dyDescent="0.3">
      <c r="B59" s="350" t="s">
        <v>202</v>
      </c>
      <c r="C59" s="51"/>
      <c r="D59" s="330"/>
      <c r="E59" s="330"/>
      <c r="F59" s="330"/>
    </row>
    <row r="60" spans="1:17" s="190" customFormat="1" x14ac:dyDescent="0.3">
      <c r="B60" s="350" t="s">
        <v>203</v>
      </c>
      <c r="C60" s="51"/>
      <c r="D60" s="330"/>
      <c r="E60" s="330"/>
      <c r="F60" s="330"/>
    </row>
    <row r="61" spans="1:17" s="190" customFormat="1" x14ac:dyDescent="0.3">
      <c r="B61" s="52"/>
      <c r="C61" s="51"/>
      <c r="D61" s="330"/>
      <c r="E61" s="330"/>
      <c r="F61" s="330"/>
    </row>
    <row r="62" spans="1:17" s="190" customFormat="1" x14ac:dyDescent="0.3">
      <c r="B62" s="52"/>
      <c r="C62" s="51"/>
      <c r="D62" s="330"/>
      <c r="E62" s="330"/>
      <c r="F62" s="330"/>
    </row>
    <row r="63" spans="1:17" s="190" customFormat="1" x14ac:dyDescent="0.3">
      <c r="B63" s="350" t="s">
        <v>200</v>
      </c>
      <c r="C63" s="51"/>
      <c r="D63" s="330"/>
      <c r="E63" s="330"/>
      <c r="F63" s="330"/>
    </row>
    <row r="64" spans="1:17" s="190" customFormat="1" x14ac:dyDescent="0.3">
      <c r="B64" s="350" t="s">
        <v>201</v>
      </c>
      <c r="C64" s="51"/>
      <c r="D64" s="330"/>
      <c r="E64" s="330"/>
      <c r="F64" s="330"/>
    </row>
    <row r="65" spans="2:6" s="190" customFormat="1" x14ac:dyDescent="0.3">
      <c r="B65" s="52"/>
      <c r="C65" s="51"/>
      <c r="D65" s="330"/>
      <c r="E65" s="330"/>
      <c r="F65" s="330"/>
    </row>
    <row r="66" spans="2:6" s="190" customFormat="1" x14ac:dyDescent="0.3">
      <c r="B66" s="350" t="s">
        <v>49</v>
      </c>
      <c r="C66" s="51"/>
      <c r="D66" s="330"/>
      <c r="E66" s="330"/>
      <c r="F66" s="330"/>
    </row>
    <row r="67" spans="2:6" s="190" customFormat="1" x14ac:dyDescent="0.3">
      <c r="B67" s="52" t="s">
        <v>204</v>
      </c>
      <c r="C67" s="51"/>
      <c r="D67" s="330"/>
      <c r="E67" s="330"/>
      <c r="F67" s="330"/>
    </row>
    <row r="68" spans="2:6" s="190" customFormat="1" x14ac:dyDescent="0.3">
      <c r="B68" s="52" t="s">
        <v>205</v>
      </c>
      <c r="C68" s="51"/>
      <c r="D68" s="330"/>
      <c r="E68" s="330"/>
      <c r="F68" s="330"/>
    </row>
    <row r="69" spans="2:6" s="190" customFormat="1" x14ac:dyDescent="0.3">
      <c r="B69" s="52" t="s">
        <v>206</v>
      </c>
      <c r="C69" s="51"/>
      <c r="D69" s="330"/>
      <c r="E69" s="330"/>
      <c r="F69" s="330"/>
    </row>
    <row r="70" spans="2:6" s="190" customFormat="1" x14ac:dyDescent="0.3">
      <c r="B70" s="52"/>
      <c r="C70" s="51"/>
      <c r="D70" s="330"/>
      <c r="E70" s="330"/>
      <c r="F70" s="330"/>
    </row>
    <row r="71" spans="2:6" s="190" customFormat="1" x14ac:dyDescent="0.3">
      <c r="B71" s="350" t="s">
        <v>90</v>
      </c>
      <c r="C71" s="51"/>
      <c r="D71" s="330"/>
      <c r="E71" s="330"/>
      <c r="F71" s="330"/>
    </row>
    <row r="72" spans="2:6" s="190" customFormat="1" x14ac:dyDescent="0.3">
      <c r="B72" s="52" t="s">
        <v>221</v>
      </c>
      <c r="C72" s="51"/>
      <c r="D72" s="330"/>
      <c r="E72" s="330"/>
      <c r="F72" s="330"/>
    </row>
    <row r="73" spans="2:6" s="190" customFormat="1" x14ac:dyDescent="0.3">
      <c r="B73" s="52" t="s">
        <v>220</v>
      </c>
      <c r="C73" s="51"/>
      <c r="D73" s="330"/>
      <c r="E73" s="330"/>
      <c r="F73" s="330"/>
    </row>
    <row r="74" spans="2:6" s="190" customFormat="1" x14ac:dyDescent="0.3">
      <c r="B74" s="52" t="s">
        <v>219</v>
      </c>
      <c r="C74" s="51"/>
      <c r="D74" s="330"/>
      <c r="E74" s="330"/>
      <c r="F74" s="330"/>
    </row>
    <row r="75" spans="2:6" s="190" customFormat="1" x14ac:dyDescent="0.3">
      <c r="B75" s="330"/>
      <c r="C75" s="330"/>
      <c r="D75" s="330"/>
      <c r="E75" s="330"/>
      <c r="F75" s="330"/>
    </row>
    <row r="76" spans="2:6" s="331" customFormat="1" x14ac:dyDescent="0.3"/>
  </sheetData>
  <sheetProtection algorithmName="SHA-512" hashValue="fUyHc54fJAwodTVNdqyz/yM+v6USoyQ3d8PGuLQZYEnPvYOiuYTs94BpxMTgS+VTlpC3pnyQQaCDRoLt7Cll1Q==" saltValue="j0NBs8AzWgFWAH8IbrjVsg==" spinCount="100000" sheet="1" objects="1" scenarios="1"/>
  <protectedRanges>
    <protectedRange sqref="C5:N46" name="Alue1"/>
  </protectedRanges>
  <phoneticPr fontId="4" type="noConversion"/>
  <dataValidations count="1">
    <dataValidation type="list" allowBlank="1" showInputMessage="1" showErrorMessage="1" sqref="N5:N47" xr:uid="{518F2F44-FFFC-42E5-ABFC-C95B61633FE8}">
      <formula1>$B$59:$B$60</formula1>
    </dataValidation>
  </dataValidations>
  <pageMargins left="0.7" right="0.7" top="0.75" bottom="0.75" header="0.3" footer="0.3"/>
  <ignoredErrors>
    <ignoredError sqref="E47 G47 L47" formula="1"/>
  </ignoredErrors>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722AD-C112-4134-B2FE-6D93DCCA6AEC}">
  <dimension ref="A1:R61"/>
  <sheetViews>
    <sheetView workbookViewId="0">
      <selection activeCell="B4" sqref="B4"/>
    </sheetView>
  </sheetViews>
  <sheetFormatPr defaultRowHeight="14.4" x14ac:dyDescent="0.3"/>
  <cols>
    <col min="1" max="1" width="50.88671875" style="78" customWidth="1"/>
    <col min="2" max="2" width="8.33203125" style="79" customWidth="1"/>
    <col min="3" max="3" width="12.44140625" style="78" customWidth="1"/>
    <col min="4" max="4" width="9.5546875" style="78" customWidth="1"/>
    <col min="5" max="5" width="8.88671875" style="78"/>
    <col min="6" max="6" width="10.44140625" style="78" bestFit="1" customWidth="1"/>
    <col min="7" max="7" width="9.5546875" style="78" bestFit="1" customWidth="1"/>
    <col min="8" max="14" width="8.88671875" style="78"/>
    <col min="15" max="18" width="8.88671875" style="80"/>
    <col min="19" max="16384" width="8.88671875" style="78"/>
  </cols>
  <sheetData>
    <row r="1" spans="1:12" s="53" customFormat="1" ht="24" thickBot="1" x14ac:dyDescent="0.5">
      <c r="A1" s="13" t="s">
        <v>308</v>
      </c>
      <c r="B1" s="13"/>
      <c r="C1" s="13"/>
    </row>
    <row r="2" spans="1:12" s="53" customFormat="1" ht="12" customHeight="1" thickTop="1" x14ac:dyDescent="0.3">
      <c r="A2" s="54"/>
      <c r="B2" s="55"/>
    </row>
    <row r="3" spans="1:12" s="53" customFormat="1" ht="21" x14ac:dyDescent="0.3">
      <c r="A3" s="54" t="s">
        <v>299</v>
      </c>
      <c r="B3" s="55"/>
      <c r="L3" s="56"/>
    </row>
    <row r="4" spans="1:12" s="53" customFormat="1" x14ac:dyDescent="0.3">
      <c r="A4" s="57" t="s">
        <v>300</v>
      </c>
      <c r="B4" s="55"/>
      <c r="L4" s="56"/>
    </row>
    <row r="5" spans="1:12" s="53" customFormat="1" x14ac:dyDescent="0.3">
      <c r="A5" s="335" t="s">
        <v>301</v>
      </c>
      <c r="B5" s="55"/>
      <c r="L5" s="56"/>
    </row>
    <row r="6" spans="1:12" s="53" customFormat="1" x14ac:dyDescent="0.3">
      <c r="A6" s="58" t="s">
        <v>326</v>
      </c>
      <c r="B6" s="55"/>
      <c r="L6" s="56"/>
    </row>
    <row r="7" spans="1:12" s="53" customFormat="1" x14ac:dyDescent="0.3">
      <c r="A7" s="57" t="s">
        <v>302</v>
      </c>
      <c r="B7" s="55"/>
      <c r="L7" s="56"/>
    </row>
    <row r="8" spans="1:12" s="53" customFormat="1" x14ac:dyDescent="0.3">
      <c r="B8" s="59"/>
      <c r="C8" s="60"/>
      <c r="D8" s="61"/>
    </row>
    <row r="9" spans="1:12" s="53" customFormat="1" x14ac:dyDescent="0.3">
      <c r="A9" s="60" t="s">
        <v>303</v>
      </c>
      <c r="B9" s="62">
        <f>'1. Feedstock'!C48</f>
        <v>7000</v>
      </c>
      <c r="C9" s="60" t="s">
        <v>9</v>
      </c>
      <c r="D9" s="61"/>
      <c r="L9" s="63"/>
    </row>
    <row r="10" spans="1:12" s="53" customFormat="1" x14ac:dyDescent="0.3">
      <c r="A10" s="53" t="s">
        <v>304</v>
      </c>
      <c r="B10" s="59">
        <f>'1. Feedstock'!D47</f>
        <v>12</v>
      </c>
      <c r="C10" s="60" t="s">
        <v>4</v>
      </c>
      <c r="D10" s="61"/>
      <c r="L10" s="64"/>
    </row>
    <row r="11" spans="1:12" s="53" customFormat="1" x14ac:dyDescent="0.3">
      <c r="B11" s="59"/>
      <c r="C11" s="60"/>
      <c r="D11" s="61"/>
      <c r="L11" s="64"/>
    </row>
    <row r="12" spans="1:12" s="60" customFormat="1" x14ac:dyDescent="0.3">
      <c r="A12" s="65" t="s">
        <v>305</v>
      </c>
      <c r="B12" s="66"/>
      <c r="C12" s="65"/>
      <c r="D12" s="67"/>
      <c r="L12" s="68"/>
    </row>
    <row r="13" spans="1:12" s="53" customFormat="1" x14ac:dyDescent="0.3">
      <c r="A13" s="57" t="s">
        <v>306</v>
      </c>
      <c r="B13" s="69">
        <f>IF(B10&gt;B22,B9*((B22-B10)/(B23-B22)),0)</f>
        <v>0</v>
      </c>
      <c r="C13" s="57" t="s">
        <v>9</v>
      </c>
      <c r="D13" s="61" t="s">
        <v>317</v>
      </c>
    </row>
    <row r="14" spans="1:12" s="53" customFormat="1" x14ac:dyDescent="0.3">
      <c r="A14" s="58" t="s">
        <v>307</v>
      </c>
      <c r="B14" s="70">
        <f>B13*B24/100*B25*10/1000</f>
        <v>0</v>
      </c>
      <c r="C14" s="57" t="s">
        <v>52</v>
      </c>
      <c r="D14" s="61" t="s">
        <v>96</v>
      </c>
    </row>
    <row r="15" spans="1:12" s="53" customFormat="1" x14ac:dyDescent="0.3">
      <c r="B15" s="59"/>
      <c r="C15" s="60"/>
      <c r="D15" s="61"/>
      <c r="L15" s="64"/>
    </row>
    <row r="16" spans="1:12" s="53" customFormat="1" x14ac:dyDescent="0.3">
      <c r="A16" s="71" t="s">
        <v>314</v>
      </c>
      <c r="B16" s="62">
        <f>B9+B13</f>
        <v>7000</v>
      </c>
      <c r="C16" s="60" t="s">
        <v>9</v>
      </c>
      <c r="D16" s="61" t="s">
        <v>318</v>
      </c>
    </row>
    <row r="17" spans="1:12" s="53" customFormat="1" x14ac:dyDescent="0.3">
      <c r="A17" s="58" t="s">
        <v>315</v>
      </c>
      <c r="B17" s="72">
        <f>(B9*B10/100+B13*B23/100)/B16*100</f>
        <v>12</v>
      </c>
      <c r="C17" s="60" t="s">
        <v>4</v>
      </c>
      <c r="D17" s="61"/>
    </row>
    <row r="18" spans="1:12" s="53" customFormat="1" x14ac:dyDescent="0.3">
      <c r="A18" s="58" t="s">
        <v>316</v>
      </c>
      <c r="B18" s="72">
        <f>(B9*'1. Feedstock'!F47/100+B13*B24/100)/B16*100</f>
        <v>10.028571428571428</v>
      </c>
      <c r="C18" s="60" t="s">
        <v>4</v>
      </c>
      <c r="D18" s="61" t="s">
        <v>319</v>
      </c>
    </row>
    <row r="19" spans="1:12" s="53" customFormat="1" x14ac:dyDescent="0.3">
      <c r="A19" s="58"/>
      <c r="B19" s="72"/>
      <c r="C19" s="60"/>
      <c r="D19" s="61"/>
    </row>
    <row r="20" spans="1:12" s="53" customFormat="1" x14ac:dyDescent="0.3">
      <c r="A20" s="73"/>
      <c r="B20" s="59"/>
      <c r="C20" s="60"/>
      <c r="D20" s="61"/>
      <c r="L20" s="64"/>
    </row>
    <row r="21" spans="1:12" s="73" customFormat="1" ht="17.399999999999999" customHeight="1" x14ac:dyDescent="0.3">
      <c r="A21" s="17" t="s">
        <v>309</v>
      </c>
      <c r="B21" s="17"/>
      <c r="C21" s="17"/>
    </row>
    <row r="22" spans="1:12" s="53" customFormat="1" x14ac:dyDescent="0.3">
      <c r="A22" s="53" t="s">
        <v>313</v>
      </c>
      <c r="B22" s="74">
        <v>15</v>
      </c>
      <c r="C22" s="57" t="s">
        <v>4</v>
      </c>
      <c r="D22" s="61"/>
    </row>
    <row r="23" spans="1:12" s="53" customFormat="1" x14ac:dyDescent="0.3">
      <c r="A23" s="53" t="s">
        <v>312</v>
      </c>
      <c r="B23" s="74">
        <v>5</v>
      </c>
      <c r="C23" s="57" t="s">
        <v>4</v>
      </c>
      <c r="D23" s="61"/>
    </row>
    <row r="24" spans="1:12" s="53" customFormat="1" x14ac:dyDescent="0.3">
      <c r="A24" s="53" t="s">
        <v>310</v>
      </c>
      <c r="B24" s="74">
        <f>0.7*B23</f>
        <v>3.5</v>
      </c>
      <c r="C24" s="57" t="s">
        <v>4</v>
      </c>
      <c r="D24" s="61"/>
    </row>
    <row r="25" spans="1:12" s="53" customFormat="1" ht="16.8" x14ac:dyDescent="0.35">
      <c r="A25" s="58" t="s">
        <v>311</v>
      </c>
      <c r="B25" s="75">
        <v>40</v>
      </c>
      <c r="C25" s="57" t="s">
        <v>51</v>
      </c>
      <c r="D25" s="61"/>
    </row>
    <row r="26" spans="1:12" s="53" customFormat="1" x14ac:dyDescent="0.3">
      <c r="B26" s="55"/>
    </row>
    <row r="27" spans="1:12" s="53" customFormat="1" x14ac:dyDescent="0.3">
      <c r="B27" s="59"/>
      <c r="C27" s="60"/>
      <c r="D27" s="61"/>
      <c r="L27" s="64"/>
    </row>
    <row r="28" spans="1:12" s="53" customFormat="1" x14ac:dyDescent="0.3">
      <c r="B28" s="55"/>
    </row>
    <row r="29" spans="1:12" s="53" customFormat="1" x14ac:dyDescent="0.3">
      <c r="B29" s="55"/>
    </row>
    <row r="30" spans="1:12" s="53" customFormat="1" x14ac:dyDescent="0.3">
      <c r="A30" s="58"/>
      <c r="B30" s="76"/>
      <c r="C30" s="60"/>
      <c r="J30" s="61"/>
    </row>
    <row r="31" spans="1:12" s="53" customFormat="1" x14ac:dyDescent="0.3">
      <c r="B31" s="55"/>
    </row>
    <row r="32" spans="1:12" s="53" customFormat="1" x14ac:dyDescent="0.3">
      <c r="B32" s="55"/>
    </row>
    <row r="33" spans="1:4" s="53" customFormat="1" x14ac:dyDescent="0.3">
      <c r="B33" s="55"/>
    </row>
    <row r="34" spans="1:4" s="53" customFormat="1" x14ac:dyDescent="0.3">
      <c r="A34" s="58"/>
      <c r="B34" s="72"/>
      <c r="C34" s="60"/>
      <c r="D34" s="61"/>
    </row>
    <row r="35" spans="1:4" s="53" customFormat="1" x14ac:dyDescent="0.3">
      <c r="A35" s="58"/>
      <c r="B35" s="72"/>
      <c r="C35" s="60"/>
      <c r="D35" s="61"/>
    </row>
    <row r="36" spans="1:4" s="53" customFormat="1" x14ac:dyDescent="0.3">
      <c r="B36" s="55"/>
    </row>
    <row r="37" spans="1:4" s="53" customFormat="1" x14ac:dyDescent="0.3">
      <c r="B37" s="55"/>
    </row>
    <row r="38" spans="1:4" s="53" customFormat="1" x14ac:dyDescent="0.3">
      <c r="B38" s="55"/>
    </row>
    <row r="39" spans="1:4" s="53" customFormat="1" x14ac:dyDescent="0.3">
      <c r="B39" s="55"/>
    </row>
    <row r="40" spans="1:4" s="53" customFormat="1" x14ac:dyDescent="0.3">
      <c r="B40" s="55"/>
    </row>
    <row r="41" spans="1:4" s="53" customFormat="1" x14ac:dyDescent="0.3">
      <c r="B41" s="55"/>
    </row>
    <row r="42" spans="1:4" s="53" customFormat="1" x14ac:dyDescent="0.3">
      <c r="B42" s="55"/>
    </row>
    <row r="43" spans="1:4" s="53" customFormat="1" x14ac:dyDescent="0.3">
      <c r="B43" s="77"/>
    </row>
    <row r="44" spans="1:4" s="53" customFormat="1" x14ac:dyDescent="0.3">
      <c r="B44" s="55"/>
    </row>
    <row r="45" spans="1:4" s="53" customFormat="1" x14ac:dyDescent="0.3">
      <c r="A45" s="60"/>
      <c r="B45" s="55"/>
    </row>
    <row r="46" spans="1:4" s="53" customFormat="1" x14ac:dyDescent="0.3">
      <c r="A46" s="60"/>
      <c r="B46" s="55"/>
    </row>
    <row r="47" spans="1:4" s="53" customFormat="1" x14ac:dyDescent="0.3">
      <c r="B47" s="55"/>
    </row>
    <row r="48" spans="1:4" s="53" customFormat="1" x14ac:dyDescent="0.3">
      <c r="B48" s="55"/>
    </row>
    <row r="49" spans="2:2" s="53" customFormat="1" x14ac:dyDescent="0.3">
      <c r="B49" s="55"/>
    </row>
    <row r="50" spans="2:2" s="53" customFormat="1" x14ac:dyDescent="0.3">
      <c r="B50" s="55"/>
    </row>
    <row r="51" spans="2:2" s="53" customFormat="1" x14ac:dyDescent="0.3">
      <c r="B51" s="55"/>
    </row>
    <row r="52" spans="2:2" s="53" customFormat="1" x14ac:dyDescent="0.3">
      <c r="B52" s="55"/>
    </row>
    <row r="53" spans="2:2" s="53" customFormat="1" x14ac:dyDescent="0.3">
      <c r="B53" s="55"/>
    </row>
    <row r="54" spans="2:2" s="53" customFormat="1" x14ac:dyDescent="0.3">
      <c r="B54" s="55"/>
    </row>
    <row r="55" spans="2:2" s="53" customFormat="1" x14ac:dyDescent="0.3">
      <c r="B55" s="55"/>
    </row>
    <row r="56" spans="2:2" s="53" customFormat="1" x14ac:dyDescent="0.3">
      <c r="B56" s="55"/>
    </row>
    <row r="57" spans="2:2" s="53" customFormat="1" x14ac:dyDescent="0.3">
      <c r="B57" s="55"/>
    </row>
    <row r="58" spans="2:2" s="53" customFormat="1" x14ac:dyDescent="0.3">
      <c r="B58" s="55"/>
    </row>
    <row r="59" spans="2:2" s="53" customFormat="1" x14ac:dyDescent="0.3">
      <c r="B59" s="55"/>
    </row>
    <row r="60" spans="2:2" s="53" customFormat="1" x14ac:dyDescent="0.3">
      <c r="B60" s="55"/>
    </row>
    <row r="61" spans="2:2" s="53" customFormat="1" x14ac:dyDescent="0.3">
      <c r="B61" s="55"/>
    </row>
  </sheetData>
  <sheetProtection algorithmName="SHA-512" hashValue="/FJ4fMVn7AfAfzpYZJQDFMhe7yeYe6WpFIupzEjbvNgc4VIXe4fDE7irA0lAPmxGLA91up/7zAISf91ZqY92uw==" saltValue="iyff/+okv9xqZjtb80F76Q==" spinCount="100000" sheet="1" objects="1" scenarios="1"/>
  <protectedRanges>
    <protectedRange sqref="B22:B25" name="Alue1"/>
  </protectedRanges>
  <phoneticPr fontId="4"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5002D-656F-4BDD-8BBD-A69C08EE1F9F}">
  <dimension ref="A1:M81"/>
  <sheetViews>
    <sheetView workbookViewId="0">
      <selection activeCell="B12" sqref="B12"/>
    </sheetView>
  </sheetViews>
  <sheetFormatPr defaultRowHeight="14.4" x14ac:dyDescent="0.3"/>
  <cols>
    <col min="1" max="1" width="37.44140625" style="116" customWidth="1"/>
    <col min="2" max="6" width="14.5546875" style="116" customWidth="1"/>
    <col min="7" max="7" width="10.21875" style="116" customWidth="1"/>
    <col min="8" max="8" width="17.6640625" style="116" customWidth="1"/>
    <col min="9" max="16384" width="8.88671875" style="116"/>
  </cols>
  <sheetData>
    <row r="1" spans="1:8" s="81" customFormat="1" ht="24" thickBot="1" x14ac:dyDescent="0.5">
      <c r="A1" s="13" t="s">
        <v>215</v>
      </c>
      <c r="B1" s="13"/>
      <c r="C1" s="13"/>
      <c r="D1" s="13"/>
      <c r="E1" s="13"/>
      <c r="F1" s="13"/>
      <c r="G1" s="13"/>
      <c r="H1" s="13"/>
    </row>
    <row r="2" spans="1:8" s="81" customFormat="1" ht="16.2" thickTop="1" x14ac:dyDescent="0.3">
      <c r="A2" s="82"/>
      <c r="B2" s="83"/>
      <c r="C2" s="82"/>
      <c r="D2" s="84"/>
    </row>
    <row r="3" spans="1:8" s="81" customFormat="1" ht="21" x14ac:dyDescent="0.3">
      <c r="A3" s="54" t="s">
        <v>232</v>
      </c>
    </row>
    <row r="4" spans="1:8" s="81" customFormat="1" ht="15.6" x14ac:dyDescent="0.3">
      <c r="A4" s="82" t="s">
        <v>233</v>
      </c>
      <c r="B4" s="83">
        <f>SUMIF('1. Feedstock'!N5:N46,"Liquid",'1. Feedstock'!C5:C46)</f>
        <v>6000</v>
      </c>
      <c r="C4" s="82" t="s">
        <v>9</v>
      </c>
      <c r="D4" s="84"/>
    </row>
    <row r="5" spans="1:8" s="81" customFormat="1" x14ac:dyDescent="0.3"/>
    <row r="6" spans="1:8" s="17" customFormat="1" ht="17.399999999999999" customHeight="1" x14ac:dyDescent="0.3">
      <c r="A6" s="17" t="s">
        <v>231</v>
      </c>
    </row>
    <row r="7" spans="1:8" s="81" customFormat="1" ht="30.6" x14ac:dyDescent="0.3">
      <c r="A7" s="85" t="s">
        <v>230</v>
      </c>
      <c r="B7" s="86" t="s">
        <v>224</v>
      </c>
      <c r="C7" s="86" t="s">
        <v>600</v>
      </c>
      <c r="D7" s="86" t="s">
        <v>225</v>
      </c>
      <c r="E7" s="86" t="s">
        <v>226</v>
      </c>
      <c r="F7" s="86" t="s">
        <v>237</v>
      </c>
    </row>
    <row r="8" spans="1:8" s="81" customFormat="1" x14ac:dyDescent="0.3">
      <c r="A8" s="81" t="s">
        <v>227</v>
      </c>
      <c r="B8" s="87">
        <f>B4</f>
        <v>6000</v>
      </c>
      <c r="C8" s="87">
        <v>10</v>
      </c>
      <c r="D8" s="88">
        <f>B8/365*C8</f>
        <v>164.38356164383563</v>
      </c>
      <c r="E8" s="89" t="s">
        <v>200</v>
      </c>
      <c r="F8" s="89" t="s">
        <v>200</v>
      </c>
      <c r="G8" s="84" t="s">
        <v>172</v>
      </c>
    </row>
    <row r="9" spans="1:8" s="81" customFormat="1" x14ac:dyDescent="0.3">
      <c r="A9" s="81" t="s">
        <v>228</v>
      </c>
      <c r="B9" s="87"/>
      <c r="C9" s="87"/>
      <c r="D9" s="88">
        <f t="shared" ref="D9:D10" si="0">B9/365*C9</f>
        <v>0</v>
      </c>
      <c r="E9" s="89" t="s">
        <v>201</v>
      </c>
      <c r="F9" s="89" t="s">
        <v>201</v>
      </c>
    </row>
    <row r="10" spans="1:8" s="81" customFormat="1" x14ac:dyDescent="0.3">
      <c r="A10" s="81" t="s">
        <v>229</v>
      </c>
      <c r="B10" s="87"/>
      <c r="C10" s="87"/>
      <c r="D10" s="88">
        <f t="shared" si="0"/>
        <v>0</v>
      </c>
      <c r="E10" s="89" t="s">
        <v>201</v>
      </c>
      <c r="F10" s="89" t="s">
        <v>201</v>
      </c>
    </row>
    <row r="11" spans="1:8" s="81" customFormat="1" x14ac:dyDescent="0.3"/>
    <row r="12" spans="1:8" s="81" customFormat="1" ht="21" x14ac:dyDescent="0.3">
      <c r="A12" s="54" t="s">
        <v>73</v>
      </c>
    </row>
    <row r="13" spans="1:8" s="81" customFormat="1" ht="15.6" x14ac:dyDescent="0.3">
      <c r="A13" s="82" t="s">
        <v>236</v>
      </c>
      <c r="B13" s="83">
        <f>SUMIF('1. Feedstock'!N5:N46,"Solid",'1. Feedstock'!C5:C46)</f>
        <v>1000</v>
      </c>
      <c r="C13" s="82" t="s">
        <v>9</v>
      </c>
      <c r="D13" s="84" t="s">
        <v>56</v>
      </c>
    </row>
    <row r="14" spans="1:8" s="81" customFormat="1" x14ac:dyDescent="0.3">
      <c r="A14" s="90"/>
      <c r="B14" s="90"/>
      <c r="C14" s="90"/>
      <c r="D14" s="84"/>
    </row>
    <row r="15" spans="1:8" s="17" customFormat="1" ht="17.399999999999999" customHeight="1" x14ac:dyDescent="0.3">
      <c r="A15" s="17" t="s">
        <v>235</v>
      </c>
    </row>
    <row r="16" spans="1:8" s="91" customFormat="1" ht="30.6" x14ac:dyDescent="0.3">
      <c r="B16" s="86" t="s">
        <v>224</v>
      </c>
      <c r="C16" s="86" t="s">
        <v>600</v>
      </c>
      <c r="D16" s="86" t="s">
        <v>234</v>
      </c>
    </row>
    <row r="17" spans="1:13" s="81" customFormat="1" ht="16.2" x14ac:dyDescent="0.3">
      <c r="A17" s="81" t="s">
        <v>238</v>
      </c>
      <c r="B17" s="87">
        <f>B13</f>
        <v>1000</v>
      </c>
      <c r="C17" s="87">
        <v>10</v>
      </c>
      <c r="D17" s="88">
        <f>B17/365*C17/(500/1000)</f>
        <v>54.794520547945204</v>
      </c>
      <c r="E17" s="84" t="s">
        <v>223</v>
      </c>
    </row>
    <row r="18" spans="1:13" s="81" customFormat="1" x14ac:dyDescent="0.3">
      <c r="A18" s="81" t="s">
        <v>239</v>
      </c>
      <c r="B18" s="87"/>
      <c r="C18" s="87"/>
      <c r="D18" s="88">
        <f t="shared" ref="D18:D19" si="1">B18/365*C18/(500/1000)</f>
        <v>0</v>
      </c>
    </row>
    <row r="19" spans="1:13" s="81" customFormat="1" x14ac:dyDescent="0.3">
      <c r="A19" s="81" t="s">
        <v>240</v>
      </c>
      <c r="B19" s="87"/>
      <c r="C19" s="87"/>
      <c r="D19" s="88">
        <f t="shared" si="1"/>
        <v>0</v>
      </c>
    </row>
    <row r="20" spans="1:13" s="81" customFormat="1" x14ac:dyDescent="0.3"/>
    <row r="21" spans="1:13" s="81" customFormat="1" ht="16.2" x14ac:dyDescent="0.3">
      <c r="A21" s="81" t="s">
        <v>241</v>
      </c>
      <c r="B21" s="87"/>
      <c r="C21" s="87"/>
      <c r="D21" s="88">
        <f t="shared" ref="D21:D23" si="2">B21/365*C21/(500/1000)</f>
        <v>0</v>
      </c>
      <c r="E21" s="84" t="s">
        <v>223</v>
      </c>
    </row>
    <row r="22" spans="1:13" s="81" customFormat="1" x14ac:dyDescent="0.3">
      <c r="A22" s="81" t="s">
        <v>242</v>
      </c>
      <c r="B22" s="87"/>
      <c r="C22" s="87"/>
      <c r="D22" s="88">
        <f t="shared" si="2"/>
        <v>0</v>
      </c>
    </row>
    <row r="23" spans="1:13" s="81" customFormat="1" x14ac:dyDescent="0.3">
      <c r="A23" s="81" t="s">
        <v>243</v>
      </c>
      <c r="B23" s="87"/>
      <c r="C23" s="87"/>
      <c r="D23" s="88">
        <f t="shared" si="2"/>
        <v>0</v>
      </c>
    </row>
    <row r="24" spans="1:13" s="81" customFormat="1" x14ac:dyDescent="0.3"/>
    <row r="25" spans="1:13" s="81" customFormat="1" ht="21" x14ac:dyDescent="0.3">
      <c r="A25" s="54" t="s">
        <v>222</v>
      </c>
    </row>
    <row r="26" spans="1:13" s="81" customFormat="1" ht="15.6" x14ac:dyDescent="0.3">
      <c r="A26" s="92" t="s">
        <v>216</v>
      </c>
      <c r="B26" s="386" t="s">
        <v>219</v>
      </c>
      <c r="C26" s="387"/>
      <c r="D26" s="387"/>
      <c r="E26" s="387"/>
      <c r="F26" s="387"/>
      <c r="G26" s="388"/>
    </row>
    <row r="27" spans="1:13" s="81" customFormat="1" x14ac:dyDescent="0.3"/>
    <row r="28" spans="1:13" s="81" customFormat="1" ht="21.6" thickBot="1" x14ac:dyDescent="0.35">
      <c r="A28" s="93" t="s">
        <v>215</v>
      </c>
      <c r="B28" s="94"/>
      <c r="C28" s="94"/>
      <c r="D28" s="94"/>
      <c r="E28" s="94"/>
      <c r="F28" s="94"/>
      <c r="G28" s="94"/>
      <c r="H28" s="94"/>
      <c r="I28" s="94"/>
      <c r="J28" s="94"/>
      <c r="K28" s="94"/>
      <c r="L28" s="94"/>
      <c r="M28" s="94"/>
    </row>
    <row r="29" spans="1:13" s="81" customFormat="1" ht="21" x14ac:dyDescent="0.3">
      <c r="A29" s="54" t="s">
        <v>214</v>
      </c>
    </row>
    <row r="30" spans="1:13" s="81" customFormat="1" x14ac:dyDescent="0.3">
      <c r="B30" s="90" t="s">
        <v>208</v>
      </c>
      <c r="C30" s="90" t="s">
        <v>209</v>
      </c>
      <c r="D30" s="90" t="s">
        <v>210</v>
      </c>
    </row>
    <row r="31" spans="1:13" s="81" customFormat="1" x14ac:dyDescent="0.3">
      <c r="A31" s="81" t="s">
        <v>207</v>
      </c>
      <c r="B31" s="95">
        <v>35</v>
      </c>
      <c r="C31" s="81" t="s">
        <v>45</v>
      </c>
      <c r="D31" s="336" t="s">
        <v>327</v>
      </c>
    </row>
    <row r="32" spans="1:13" s="81" customFormat="1" x14ac:dyDescent="0.3">
      <c r="A32" s="81" t="s">
        <v>211</v>
      </c>
      <c r="B32" s="95">
        <v>35</v>
      </c>
      <c r="C32" s="81" t="s">
        <v>46</v>
      </c>
      <c r="D32" s="336" t="s">
        <v>328</v>
      </c>
    </row>
    <row r="33" spans="1:4" s="81" customFormat="1" ht="16.2" x14ac:dyDescent="0.3">
      <c r="A33" s="81" t="s">
        <v>212</v>
      </c>
      <c r="B33" s="96">
        <f>'2. Plant type'!B16/365*B31</f>
        <v>671.23287671232868</v>
      </c>
      <c r="C33" s="81" t="s">
        <v>47</v>
      </c>
      <c r="D33" s="84"/>
    </row>
    <row r="34" spans="1:4" s="81" customFormat="1" x14ac:dyDescent="0.3">
      <c r="A34" s="81" t="s">
        <v>218</v>
      </c>
      <c r="B34" s="97">
        <f>'2. Plant type'!B17</f>
        <v>12</v>
      </c>
      <c r="C34" s="81" t="s">
        <v>4</v>
      </c>
      <c r="D34" s="84" t="s">
        <v>244</v>
      </c>
    </row>
    <row r="35" spans="1:4" s="81" customFormat="1" ht="16.2" x14ac:dyDescent="0.3">
      <c r="A35" s="81" t="s">
        <v>213</v>
      </c>
      <c r="B35" s="98">
        <f>B62*'2. Plant type'!B18/100*1000/B33</f>
        <v>2.8653061224489798</v>
      </c>
      <c r="C35" s="81" t="s">
        <v>48</v>
      </c>
    </row>
    <row r="36" spans="1:4" s="81" customFormat="1" x14ac:dyDescent="0.3"/>
    <row r="37" spans="1:4" s="81" customFormat="1" ht="21" x14ac:dyDescent="0.3">
      <c r="A37" s="54" t="s">
        <v>217</v>
      </c>
    </row>
    <row r="38" spans="1:4" s="81" customFormat="1" ht="15.6" x14ac:dyDescent="0.3">
      <c r="A38" s="92" t="s">
        <v>216</v>
      </c>
      <c r="B38" s="99" t="s">
        <v>204</v>
      </c>
      <c r="D38" s="84" t="s">
        <v>329</v>
      </c>
    </row>
    <row r="39" spans="1:4" s="81" customFormat="1" x14ac:dyDescent="0.3">
      <c r="A39" s="100"/>
      <c r="D39" s="84"/>
    </row>
    <row r="40" spans="1:4" s="81" customFormat="1" ht="16.2" x14ac:dyDescent="0.3">
      <c r="A40" s="81" t="s">
        <v>322</v>
      </c>
      <c r="B40" s="101">
        <f>B41*1000/10</f>
        <v>180900</v>
      </c>
      <c r="C40" s="81" t="s">
        <v>50</v>
      </c>
      <c r="D40" s="84" t="s">
        <v>330</v>
      </c>
    </row>
    <row r="41" spans="1:4" s="81" customFormat="1" ht="16.2" x14ac:dyDescent="0.3">
      <c r="A41" s="81" t="s">
        <v>320</v>
      </c>
      <c r="B41" s="101">
        <f>'1. Feedstock'!C52+'2. Plant type'!B14</f>
        <v>1809</v>
      </c>
      <c r="C41" s="81" t="s">
        <v>52</v>
      </c>
      <c r="D41" s="84" t="s">
        <v>331</v>
      </c>
    </row>
    <row r="42" spans="1:4" s="81" customFormat="1" x14ac:dyDescent="0.3">
      <c r="A42" s="81" t="s">
        <v>323</v>
      </c>
      <c r="B42" s="101">
        <f>B72*100</f>
        <v>79.668487644447055</v>
      </c>
      <c r="C42" s="81" t="s">
        <v>4</v>
      </c>
      <c r="D42" s="84" t="s">
        <v>608</v>
      </c>
    </row>
    <row r="43" spans="1:4" s="81" customFormat="1" x14ac:dyDescent="0.3">
      <c r="A43" s="90" t="s">
        <v>321</v>
      </c>
      <c r="B43" s="102">
        <f>B42</f>
        <v>79.668487644447055</v>
      </c>
      <c r="C43" s="81" t="s">
        <v>4</v>
      </c>
      <c r="D43" s="84" t="s">
        <v>332</v>
      </c>
    </row>
    <row r="44" spans="1:4" s="81" customFormat="1" x14ac:dyDescent="0.3">
      <c r="A44" s="100"/>
      <c r="B44" s="103"/>
      <c r="D44" s="104"/>
    </row>
    <row r="45" spans="1:4" s="81" customFormat="1" ht="18" x14ac:dyDescent="0.3">
      <c r="A45" s="105" t="s">
        <v>607</v>
      </c>
      <c r="B45" s="106">
        <f>B41*B43/100</f>
        <v>1441.2029414880474</v>
      </c>
      <c r="C45" s="105" t="s">
        <v>52</v>
      </c>
      <c r="D45" s="104"/>
    </row>
    <row r="46" spans="1:4" s="81" customFormat="1" x14ac:dyDescent="0.3"/>
    <row r="47" spans="1:4" s="81" customFormat="1" ht="21" x14ac:dyDescent="0.3">
      <c r="A47" s="54" t="s">
        <v>107</v>
      </c>
    </row>
    <row r="48" spans="1:4" s="81" customFormat="1" x14ac:dyDescent="0.3"/>
    <row r="49" spans="1:5" s="81" customFormat="1" ht="16.2" x14ac:dyDescent="0.3">
      <c r="A49" s="81" t="s">
        <v>336</v>
      </c>
      <c r="B49" s="95">
        <v>0</v>
      </c>
      <c r="C49" s="81" t="s">
        <v>89</v>
      </c>
      <c r="D49" s="84" t="s">
        <v>333</v>
      </c>
    </row>
    <row r="50" spans="1:5" s="81" customFormat="1" ht="16.2" x14ac:dyDescent="0.3">
      <c r="A50" s="81" t="s">
        <v>335</v>
      </c>
      <c r="B50" s="107">
        <f>0.00274*B49</f>
        <v>0</v>
      </c>
      <c r="C50" s="81" t="s">
        <v>47</v>
      </c>
      <c r="D50" s="84" t="s">
        <v>334</v>
      </c>
    </row>
    <row r="51" spans="1:5" s="81" customFormat="1" x14ac:dyDescent="0.3"/>
    <row r="52" spans="1:5" s="81" customFormat="1" ht="21" x14ac:dyDescent="0.3">
      <c r="A52" s="54" t="s">
        <v>340</v>
      </c>
    </row>
    <row r="53" spans="1:5" s="81" customFormat="1" x14ac:dyDescent="0.3">
      <c r="A53" s="81" t="s">
        <v>337</v>
      </c>
      <c r="B53" s="108">
        <v>4</v>
      </c>
      <c r="C53" s="109" t="s">
        <v>6</v>
      </c>
      <c r="D53" s="84" t="s">
        <v>339</v>
      </c>
    </row>
    <row r="54" spans="1:5" s="81" customFormat="1" x14ac:dyDescent="0.3">
      <c r="A54" s="81" t="s">
        <v>338</v>
      </c>
      <c r="B54" s="108">
        <v>5</v>
      </c>
      <c r="C54" s="109" t="s">
        <v>6</v>
      </c>
      <c r="D54" s="84" t="s">
        <v>339</v>
      </c>
    </row>
    <row r="55" spans="1:5" s="81" customFormat="1" x14ac:dyDescent="0.3"/>
    <row r="56" spans="1:5" s="110" customFormat="1" x14ac:dyDescent="0.3"/>
    <row r="57" spans="1:5" s="110" customFormat="1" x14ac:dyDescent="0.3"/>
    <row r="58" spans="1:5" s="110" customFormat="1" x14ac:dyDescent="0.3"/>
    <row r="59" spans="1:5" s="110" customFormat="1" x14ac:dyDescent="0.3"/>
    <row r="60" spans="1:5" s="110" customFormat="1" x14ac:dyDescent="0.3"/>
    <row r="61" spans="1:5" s="111" customFormat="1" x14ac:dyDescent="0.3">
      <c r="A61" s="114" t="s">
        <v>57</v>
      </c>
      <c r="B61" s="51"/>
      <c r="C61" s="113"/>
      <c r="D61" s="113"/>
      <c r="E61" s="113"/>
    </row>
    <row r="62" spans="1:5" s="111" customFormat="1" x14ac:dyDescent="0.3">
      <c r="A62" s="114" t="s">
        <v>58</v>
      </c>
      <c r="B62" s="112">
        <f>'2. Plant type'!B16/365</f>
        <v>19.17808219178082</v>
      </c>
      <c r="C62" s="113" t="s">
        <v>63</v>
      </c>
      <c r="D62" s="113"/>
      <c r="E62" s="113"/>
    </row>
    <row r="63" spans="1:5" s="111" customFormat="1" x14ac:dyDescent="0.3">
      <c r="A63" s="114" t="s">
        <v>59</v>
      </c>
      <c r="B63" s="117">
        <f>'2. Plant type'!B18</f>
        <v>10.028571428571428</v>
      </c>
      <c r="C63" s="113" t="s">
        <v>63</v>
      </c>
      <c r="D63" s="113"/>
      <c r="E63" s="113"/>
    </row>
    <row r="64" spans="1:5" s="111" customFormat="1" ht="16.2" x14ac:dyDescent="0.3">
      <c r="A64" s="118" t="s">
        <v>174</v>
      </c>
      <c r="B64" s="119">
        <f>B65*B66*(1-B68/(B69*B70-1+B68))</f>
        <v>0.54785905299332405</v>
      </c>
      <c r="C64" s="113" t="s">
        <v>64</v>
      </c>
      <c r="D64" s="113"/>
      <c r="E64" s="113"/>
    </row>
    <row r="65" spans="1:5" s="111" customFormat="1" ht="16.2" x14ac:dyDescent="0.3">
      <c r="A65" s="120" t="s">
        <v>175</v>
      </c>
      <c r="B65" s="121">
        <v>0.24</v>
      </c>
      <c r="C65" s="113" t="s">
        <v>63</v>
      </c>
      <c r="D65" s="113"/>
      <c r="E65" s="113"/>
    </row>
    <row r="66" spans="1:5" s="111" customFormat="1" x14ac:dyDescent="0.3">
      <c r="A66" s="120" t="s">
        <v>176</v>
      </c>
      <c r="B66" s="117">
        <f>B62*B63/100*1000/B33</f>
        <v>2.8653061224489798</v>
      </c>
      <c r="C66" s="113" t="s">
        <v>64</v>
      </c>
      <c r="D66" s="113"/>
      <c r="E66" s="113"/>
    </row>
    <row r="67" spans="1:5" s="111" customFormat="1" ht="16.2" x14ac:dyDescent="0.3">
      <c r="A67" s="120" t="s">
        <v>177</v>
      </c>
      <c r="B67" s="112">
        <f>B63*10</f>
        <v>100.28571428571428</v>
      </c>
      <c r="C67" s="113" t="s">
        <v>64</v>
      </c>
      <c r="D67" s="113"/>
      <c r="E67" s="113"/>
    </row>
    <row r="68" spans="1:5" s="111" customFormat="1" ht="15.6" x14ac:dyDescent="0.3">
      <c r="A68" s="120" t="s">
        <v>178</v>
      </c>
      <c r="B68" s="122">
        <f>2+(0.0016)*EXP(0.06*B67)</f>
        <v>2.6566469363129483</v>
      </c>
      <c r="C68" s="113" t="s">
        <v>179</v>
      </c>
      <c r="D68" s="113"/>
      <c r="E68" s="113"/>
    </row>
    <row r="69" spans="1:5" s="111" customFormat="1" ht="15.6" x14ac:dyDescent="0.3">
      <c r="A69" s="120" t="s">
        <v>180</v>
      </c>
      <c r="B69" s="121">
        <f>0.013*B32-0.129</f>
        <v>0.32599999999999996</v>
      </c>
      <c r="C69" s="113" t="s">
        <v>65</v>
      </c>
      <c r="D69" s="113"/>
      <c r="E69" s="113"/>
    </row>
    <row r="70" spans="1:5" s="111" customFormat="1" x14ac:dyDescent="0.3">
      <c r="A70" s="123" t="s">
        <v>60</v>
      </c>
      <c r="B70" s="112">
        <f>B31</f>
        <v>35</v>
      </c>
      <c r="C70" s="113" t="s">
        <v>62</v>
      </c>
      <c r="D70" s="113"/>
      <c r="E70" s="113"/>
    </row>
    <row r="71" spans="1:5" s="111" customFormat="1" ht="16.8" x14ac:dyDescent="0.35">
      <c r="A71" s="51" t="s">
        <v>181</v>
      </c>
      <c r="B71" s="112">
        <f>B64*B33</f>
        <v>367.74100817360102</v>
      </c>
      <c r="C71" s="113" t="s">
        <v>108</v>
      </c>
      <c r="D71" s="113"/>
      <c r="E71" s="113"/>
    </row>
    <row r="72" spans="1:5" s="111" customFormat="1" x14ac:dyDescent="0.3">
      <c r="A72" s="51" t="s">
        <v>182</v>
      </c>
      <c r="B72" s="124">
        <f>B71/B73</f>
        <v>0.7966848764444705</v>
      </c>
      <c r="C72" s="113"/>
      <c r="D72" s="113"/>
      <c r="E72" s="113"/>
    </row>
    <row r="73" spans="1:5" s="113" customFormat="1" x14ac:dyDescent="0.3">
      <c r="A73" s="52" t="s">
        <v>61</v>
      </c>
      <c r="B73" s="112">
        <f>B65*(B62*B63/100*1000)</f>
        <v>461.58904109589037</v>
      </c>
    </row>
    <row r="74" spans="1:5" s="113" customFormat="1" x14ac:dyDescent="0.3"/>
    <row r="75" spans="1:5" s="113" customFormat="1" x14ac:dyDescent="0.3">
      <c r="A75" s="114" t="s">
        <v>168</v>
      </c>
    </row>
    <row r="76" spans="1:5" s="113" customFormat="1" x14ac:dyDescent="0.3"/>
    <row r="77" spans="1:5" s="113" customFormat="1" x14ac:dyDescent="0.3">
      <c r="A77" s="113" t="s">
        <v>169</v>
      </c>
      <c r="B77" s="113">
        <v>21</v>
      </c>
      <c r="C77" s="113" t="s">
        <v>45</v>
      </c>
    </row>
    <row r="78" spans="1:5" s="113" customFormat="1" x14ac:dyDescent="0.3">
      <c r="B78" s="113">
        <v>30</v>
      </c>
      <c r="C78" s="113" t="s">
        <v>170</v>
      </c>
    </row>
    <row r="79" spans="1:5" s="113" customFormat="1" ht="16.2" x14ac:dyDescent="0.3">
      <c r="A79" s="113" t="s">
        <v>53</v>
      </c>
      <c r="C79" s="113" t="s">
        <v>171</v>
      </c>
    </row>
    <row r="80" spans="1:5" s="113" customFormat="1" x14ac:dyDescent="0.3"/>
    <row r="81" spans="2:3" x14ac:dyDescent="0.3">
      <c r="B81" s="115"/>
      <c r="C81" s="115"/>
    </row>
  </sheetData>
  <sheetProtection algorithmName="SHA-512" hashValue="ht8TyA55Ga4ctDWmhJCRaeQww3ObhALDRuLLDKUIN2ic7d9fKlsZKsrScJd3XsB2NJV+t5ZRo1V+KBeljYEL0w==" saltValue="u5mcGhGvcxhZsbPICAoC1Q==" spinCount="100000" sheet="1" objects="1" scenarios="1"/>
  <protectedRanges>
    <protectedRange sqref="B53:B54" name="Alue10"/>
    <protectedRange sqref="B49" name="Alue9"/>
    <protectedRange sqref="B43" name="Alue8"/>
    <protectedRange sqref="B38" name="Alue7"/>
    <protectedRange sqref="B31:B32" name="Alue6"/>
    <protectedRange sqref="B26" name="Alue5"/>
    <protectedRange sqref="B21:C23" name="Alue4"/>
    <protectedRange sqref="B17:C19" name="Alue3"/>
    <protectedRange sqref="E8:F10" name="Alue2"/>
    <protectedRange sqref="B8:C10" name="Alue1"/>
  </protectedRanges>
  <mergeCells count="1">
    <mergeCell ref="B26:G26"/>
  </mergeCells>
  <phoneticPr fontId="4" type="noConversion"/>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B0DAC0CE-9F3A-400E-8601-30E32AE2CC3A}">
          <x14:formula1>
            <xm:f>'1. Feedstock'!$B$63:$B$64</xm:f>
          </x14:formula1>
          <xm:sqref>E8:F10</xm:sqref>
        </x14:dataValidation>
        <x14:dataValidation type="list" allowBlank="1" showInputMessage="1" showErrorMessage="1" xr:uid="{87570CE0-2491-414C-B980-9BD892F84D3E}">
          <x14:formula1>
            <xm:f>'1. Feedstock'!$B$67:$B$69</xm:f>
          </x14:formula1>
          <xm:sqref>B38:B39</xm:sqref>
        </x14:dataValidation>
        <x14:dataValidation type="list" allowBlank="1" showInputMessage="1" showErrorMessage="1" xr:uid="{8EF972B9-9111-41E8-BA42-F9C1764EE593}">
          <x14:formula1>
            <xm:f>'1. Feedstock'!$B$72:$B$74</xm:f>
          </x14:formula1>
          <xm:sqref>B26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0A25F-B80C-43E0-96E5-B3DD29299C86}">
  <dimension ref="A1:Q147"/>
  <sheetViews>
    <sheetView workbookViewId="0">
      <selection activeCell="B5" sqref="B5"/>
    </sheetView>
  </sheetViews>
  <sheetFormatPr defaultRowHeight="14.4" x14ac:dyDescent="0.3"/>
  <cols>
    <col min="1" max="1" width="48.21875" style="192" customWidth="1"/>
    <col min="2" max="2" width="10.77734375" style="200" customWidth="1"/>
    <col min="3" max="4" width="8.88671875" style="192"/>
    <col min="5" max="5" width="10.88671875" style="192" customWidth="1"/>
    <col min="6" max="16384" width="8.88671875" style="192"/>
  </cols>
  <sheetData>
    <row r="1" spans="1:10" s="57" customFormat="1" ht="24" thickBot="1" x14ac:dyDescent="0.5">
      <c r="A1" s="13" t="s">
        <v>341</v>
      </c>
      <c r="B1" s="13"/>
      <c r="C1" s="13"/>
      <c r="D1" s="13"/>
      <c r="E1" s="13"/>
      <c r="F1" s="13"/>
      <c r="G1" s="13"/>
      <c r="H1" s="13"/>
      <c r="I1" s="13"/>
      <c r="J1" s="13"/>
    </row>
    <row r="2" spans="1:10" s="57" customFormat="1" ht="21.6" thickTop="1" x14ac:dyDescent="0.4">
      <c r="A2" s="125" t="s">
        <v>342</v>
      </c>
      <c r="B2" s="126"/>
    </row>
    <row r="3" spans="1:10" s="57" customFormat="1" x14ac:dyDescent="0.3">
      <c r="A3" s="57" t="s">
        <v>343</v>
      </c>
      <c r="B3" s="127">
        <f>'3. Technology'!B41*('3. Technology'!B42/100)</f>
        <v>1441.2029414880471</v>
      </c>
      <c r="C3" s="60" t="s">
        <v>52</v>
      </c>
      <c r="D3" s="61" t="s">
        <v>345</v>
      </c>
      <c r="I3" s="61"/>
    </row>
    <row r="4" spans="1:10" s="57" customFormat="1" x14ac:dyDescent="0.3">
      <c r="A4" s="57" t="s">
        <v>520</v>
      </c>
      <c r="B4" s="127">
        <f>B3*1000/365/24</f>
        <v>164.52088373151221</v>
      </c>
      <c r="C4" s="60" t="s">
        <v>43</v>
      </c>
    </row>
    <row r="5" spans="1:10" s="57" customFormat="1" ht="16.2" x14ac:dyDescent="0.3">
      <c r="A5" s="57" t="s">
        <v>521</v>
      </c>
      <c r="B5" s="127">
        <f>B3*1000/10/('1. Feedstock'!L47/100)</f>
        <v>241100.11755230752</v>
      </c>
      <c r="C5" s="60" t="s">
        <v>54</v>
      </c>
      <c r="D5" s="61" t="s">
        <v>346</v>
      </c>
      <c r="I5" s="61"/>
    </row>
    <row r="6" spans="1:10" s="57" customFormat="1" ht="16.2" x14ac:dyDescent="0.3">
      <c r="A6" s="57" t="s">
        <v>344</v>
      </c>
      <c r="B6" s="127">
        <f>B5*'1. Feedstock'!L47/100</f>
        <v>144120.29414880471</v>
      </c>
      <c r="C6" s="60" t="s">
        <v>54</v>
      </c>
      <c r="D6" s="128"/>
      <c r="I6" s="61"/>
    </row>
    <row r="7" spans="1:10" s="57" customFormat="1" x14ac:dyDescent="0.3">
      <c r="B7" s="129"/>
      <c r="C7" s="60"/>
      <c r="D7" s="128"/>
      <c r="I7" s="61"/>
    </row>
    <row r="8" spans="1:10" s="57" customFormat="1" x14ac:dyDescent="0.3">
      <c r="A8" s="130" t="s">
        <v>347</v>
      </c>
      <c r="B8" s="126"/>
    </row>
    <row r="9" spans="1:10" s="57" customFormat="1" x14ac:dyDescent="0.3">
      <c r="A9" s="131" t="s">
        <v>348</v>
      </c>
      <c r="B9" s="126"/>
    </row>
    <row r="10" spans="1:10" s="57" customFormat="1" x14ac:dyDescent="0.3">
      <c r="B10" s="126"/>
    </row>
    <row r="11" spans="1:10" s="133" customFormat="1" ht="13.8" x14ac:dyDescent="0.3">
      <c r="A11" s="132" t="s">
        <v>349</v>
      </c>
      <c r="B11" s="132" t="s">
        <v>355</v>
      </c>
      <c r="C11" s="132"/>
      <c r="D11" s="132" t="s">
        <v>356</v>
      </c>
      <c r="E11" s="132"/>
      <c r="F11" s="132" t="s">
        <v>357</v>
      </c>
      <c r="G11" s="132"/>
      <c r="H11" s="132" t="s">
        <v>358</v>
      </c>
      <c r="I11" s="132"/>
      <c r="J11" s="132"/>
    </row>
    <row r="12" spans="1:10" s="57" customFormat="1" x14ac:dyDescent="0.3">
      <c r="A12" s="60" t="s">
        <v>350</v>
      </c>
      <c r="B12" s="343">
        <f>10000*D35/(B3*H12)</f>
        <v>17.747963223174203</v>
      </c>
      <c r="C12" s="60" t="s">
        <v>4</v>
      </c>
      <c r="D12" s="134">
        <f>B3*(B12/100)*H12/100</f>
        <v>217.41654282261294</v>
      </c>
      <c r="E12" s="57" t="s">
        <v>52</v>
      </c>
      <c r="F12" s="135">
        <f>D12*1000/365/24</f>
        <v>24.819240048243486</v>
      </c>
      <c r="G12" s="57" t="s">
        <v>43</v>
      </c>
      <c r="H12" s="136">
        <v>85</v>
      </c>
      <c r="I12" s="57" t="s">
        <v>4</v>
      </c>
      <c r="J12" s="61"/>
    </row>
    <row r="13" spans="1:10" s="57" customFormat="1" x14ac:dyDescent="0.3">
      <c r="A13" s="60" t="s">
        <v>351</v>
      </c>
      <c r="B13" s="343">
        <f>100-B12</f>
        <v>82.252036776825804</v>
      </c>
      <c r="C13" s="60" t="s">
        <v>4</v>
      </c>
      <c r="D13" s="137"/>
      <c r="H13" s="138"/>
    </row>
    <row r="14" spans="1:10" s="57" customFormat="1" ht="15.6" x14ac:dyDescent="0.35">
      <c r="A14" s="57" t="s">
        <v>583</v>
      </c>
      <c r="B14" s="126"/>
      <c r="D14" s="134">
        <f>B3*(B13/100)*(H14/100)</f>
        <v>734.95963954609522</v>
      </c>
      <c r="E14" s="57" t="s">
        <v>52</v>
      </c>
      <c r="F14" s="135">
        <f>D14*1000/365/24</f>
        <v>83.899502231289404</v>
      </c>
      <c r="G14" s="57" t="s">
        <v>525</v>
      </c>
      <c r="H14" s="136">
        <v>62</v>
      </c>
      <c r="I14" s="57" t="s">
        <v>4</v>
      </c>
      <c r="J14" s="61"/>
    </row>
    <row r="15" spans="1:10" s="139" customFormat="1" ht="15.6" x14ac:dyDescent="0.35">
      <c r="A15" s="139" t="s">
        <v>522</v>
      </c>
      <c r="B15" s="140"/>
      <c r="D15" s="134">
        <f>B3*(B13/100)*(H15/100)</f>
        <v>367.47981977304761</v>
      </c>
      <c r="E15" s="139" t="s">
        <v>52</v>
      </c>
      <c r="F15" s="141">
        <f t="shared" ref="F15:F19" si="0">D15*1000/365/24</f>
        <v>41.949751115644702</v>
      </c>
      <c r="G15" s="139" t="s">
        <v>526</v>
      </c>
      <c r="H15" s="142">
        <v>31</v>
      </c>
      <c r="I15" s="139" t="s">
        <v>4</v>
      </c>
      <c r="J15" s="143"/>
    </row>
    <row r="16" spans="1:10" s="139" customFormat="1" x14ac:dyDescent="0.3">
      <c r="A16" s="144" t="s">
        <v>523</v>
      </c>
      <c r="B16" s="343">
        <v>0</v>
      </c>
      <c r="C16" s="144" t="s">
        <v>4</v>
      </c>
      <c r="D16" s="145">
        <f>B3*B16/100*H16/100</f>
        <v>0</v>
      </c>
      <c r="E16" s="146" t="s">
        <v>52</v>
      </c>
      <c r="F16" s="147">
        <f t="shared" si="0"/>
        <v>0</v>
      </c>
      <c r="G16" s="146" t="s">
        <v>43</v>
      </c>
      <c r="H16" s="136">
        <v>98</v>
      </c>
      <c r="I16" s="146" t="s">
        <v>4</v>
      </c>
      <c r="J16" s="148"/>
    </row>
    <row r="17" spans="1:17" s="139" customFormat="1" x14ac:dyDescent="0.3">
      <c r="A17" s="149" t="s">
        <v>524</v>
      </c>
      <c r="B17" s="343">
        <v>0</v>
      </c>
      <c r="C17" s="149" t="s">
        <v>4</v>
      </c>
      <c r="D17" s="150">
        <f>B3*B17/100*H16/100</f>
        <v>0</v>
      </c>
      <c r="E17" s="151" t="s">
        <v>52</v>
      </c>
      <c r="F17" s="152">
        <f t="shared" si="0"/>
        <v>0</v>
      </c>
      <c r="G17" s="151" t="s">
        <v>43</v>
      </c>
      <c r="H17" s="153">
        <f>H16</f>
        <v>98</v>
      </c>
      <c r="I17" s="151" t="s">
        <v>4</v>
      </c>
      <c r="J17" s="154"/>
    </row>
    <row r="18" spans="1:17" s="57" customFormat="1" x14ac:dyDescent="0.3">
      <c r="A18" s="57" t="s">
        <v>352</v>
      </c>
      <c r="B18" s="343">
        <v>0</v>
      </c>
      <c r="C18" s="60" t="s">
        <v>4</v>
      </c>
      <c r="D18" s="134">
        <f>B3*B18/100</f>
        <v>0</v>
      </c>
      <c r="E18" s="57" t="s">
        <v>52</v>
      </c>
      <c r="F18" s="135">
        <f t="shared" si="0"/>
        <v>0</v>
      </c>
      <c r="G18" s="139" t="s">
        <v>43</v>
      </c>
    </row>
    <row r="19" spans="1:17" s="139" customFormat="1" x14ac:dyDescent="0.3">
      <c r="A19" s="151" t="s">
        <v>353</v>
      </c>
      <c r="B19" s="343">
        <v>0</v>
      </c>
      <c r="C19" s="149" t="s">
        <v>4</v>
      </c>
      <c r="D19" s="150">
        <f>B3*B19/100</f>
        <v>0</v>
      </c>
      <c r="E19" s="151" t="s">
        <v>52</v>
      </c>
      <c r="F19" s="152">
        <f t="shared" si="0"/>
        <v>0</v>
      </c>
      <c r="G19" s="151" t="s">
        <v>43</v>
      </c>
      <c r="H19" s="151"/>
      <c r="I19" s="151"/>
      <c r="J19" s="151"/>
    </row>
    <row r="20" spans="1:17" s="57" customFormat="1" ht="18" x14ac:dyDescent="0.35">
      <c r="A20" s="155" t="s">
        <v>354</v>
      </c>
      <c r="B20" s="385">
        <f>SUM(B12:B19)</f>
        <v>100</v>
      </c>
      <c r="C20" s="155" t="s">
        <v>4</v>
      </c>
      <c r="D20" s="156" t="str">
        <f>IF(B20=100," ","Error message: The sum of shares is not 100%. Add or remove share values for the energy production methods.")</f>
        <v xml:space="preserve"> </v>
      </c>
    </row>
    <row r="21" spans="1:17" s="57" customFormat="1" x14ac:dyDescent="0.3"/>
    <row r="22" spans="1:17" s="57" customFormat="1" ht="23.4" x14ac:dyDescent="0.45">
      <c r="A22" s="157" t="s">
        <v>360</v>
      </c>
      <c r="B22" s="126"/>
    </row>
    <row r="23" spans="1:17" s="161" customFormat="1" ht="13.8" x14ac:dyDescent="0.3">
      <c r="A23" s="158"/>
      <c r="B23" s="159"/>
      <c r="C23" s="160"/>
      <c r="G23" s="162"/>
      <c r="J23" s="163"/>
    </row>
    <row r="24" spans="1:17" s="165" customFormat="1" ht="13.8" x14ac:dyDescent="0.3">
      <c r="A24" s="259" t="s">
        <v>361</v>
      </c>
      <c r="B24" s="132" t="s">
        <v>362</v>
      </c>
      <c r="C24" s="132"/>
      <c r="D24" s="132" t="s">
        <v>364</v>
      </c>
      <c r="E24" s="132"/>
      <c r="F24" s="132" t="s">
        <v>365</v>
      </c>
      <c r="G24" s="132"/>
      <c r="H24" s="309" t="s">
        <v>367</v>
      </c>
      <c r="I24" s="164"/>
      <c r="K24" s="133"/>
      <c r="L24" s="133"/>
      <c r="M24" s="133"/>
      <c r="N24" s="133"/>
    </row>
    <row r="25" spans="1:17" s="165" customFormat="1" ht="13.8" x14ac:dyDescent="0.3">
      <c r="A25" s="132"/>
      <c r="B25" s="132" t="s">
        <v>363</v>
      </c>
      <c r="C25" s="132"/>
      <c r="D25" s="259" t="s">
        <v>363</v>
      </c>
      <c r="E25" s="132"/>
      <c r="F25" s="132" t="s">
        <v>366</v>
      </c>
      <c r="G25" s="132"/>
      <c r="H25" s="133"/>
      <c r="I25" s="164"/>
      <c r="K25" s="133"/>
      <c r="L25" s="133"/>
      <c r="M25" s="133"/>
      <c r="N25" s="133"/>
    </row>
    <row r="26" spans="1:17" s="165" customFormat="1" ht="13.8" x14ac:dyDescent="0.3">
      <c r="A26" s="132"/>
      <c r="B26" s="132" t="s">
        <v>135</v>
      </c>
      <c r="C26" s="132"/>
      <c r="D26" s="132" t="s">
        <v>135</v>
      </c>
      <c r="E26" s="132"/>
      <c r="F26" s="132" t="s">
        <v>52</v>
      </c>
      <c r="G26" s="132"/>
      <c r="H26" s="133"/>
      <c r="I26" s="164"/>
      <c r="K26" s="133"/>
      <c r="L26" s="133"/>
      <c r="M26" s="133"/>
      <c r="N26" s="133"/>
    </row>
    <row r="27" spans="1:17" s="161" customFormat="1" ht="13.8" x14ac:dyDescent="0.3">
      <c r="A27" s="166" t="s">
        <v>584</v>
      </c>
      <c r="B27" s="160">
        <f>B146</f>
        <v>217.41654282261291</v>
      </c>
      <c r="D27" s="167">
        <f>B27</f>
        <v>217.41654282261291</v>
      </c>
      <c r="F27" s="168">
        <v>800</v>
      </c>
    </row>
    <row r="28" spans="1:17" s="161" customFormat="1" ht="13.8" x14ac:dyDescent="0.3">
      <c r="A28" s="169" t="s">
        <v>359</v>
      </c>
      <c r="B28" s="160">
        <f>B116/1000</f>
        <v>74.753194139507343</v>
      </c>
      <c r="D28" s="167">
        <f>B28</f>
        <v>74.753194139507343</v>
      </c>
      <c r="F28" s="168">
        <v>400</v>
      </c>
    </row>
    <row r="29" spans="1:17" s="161" customFormat="1" ht="13.8" x14ac:dyDescent="0.3">
      <c r="A29" s="158" t="s">
        <v>591</v>
      </c>
      <c r="B29" s="160" t="s">
        <v>7</v>
      </c>
      <c r="D29" s="160" t="s">
        <v>7</v>
      </c>
      <c r="F29" s="168">
        <v>0</v>
      </c>
    </row>
    <row r="30" spans="1:17" s="161" customFormat="1" ht="13.8" x14ac:dyDescent="0.3">
      <c r="A30" s="158" t="s">
        <v>592</v>
      </c>
      <c r="B30" s="160" t="s">
        <v>7</v>
      </c>
      <c r="D30" s="160" t="s">
        <v>7</v>
      </c>
      <c r="F30" s="168">
        <v>0</v>
      </c>
      <c r="G30" s="162"/>
      <c r="J30" s="163"/>
    </row>
    <row r="31" spans="1:17" s="57" customFormat="1" x14ac:dyDescent="0.3">
      <c r="B31" s="126"/>
    </row>
    <row r="32" spans="1:17" s="165" customFormat="1" ht="13.8" x14ac:dyDescent="0.3">
      <c r="A32" s="132" t="s">
        <v>361</v>
      </c>
      <c r="B32" s="132" t="s">
        <v>368</v>
      </c>
      <c r="C32" s="170"/>
      <c r="D32" s="132" t="s">
        <v>370</v>
      </c>
      <c r="E32" s="170"/>
      <c r="F32" s="132" t="s">
        <v>372</v>
      </c>
      <c r="G32" s="170"/>
      <c r="H32" s="132" t="s">
        <v>374</v>
      </c>
      <c r="I32" s="170"/>
      <c r="J32" s="132" t="s">
        <v>378</v>
      </c>
      <c r="K32" s="132"/>
      <c r="L32" s="132" t="s">
        <v>380</v>
      </c>
      <c r="M32" s="132"/>
      <c r="N32" s="132" t="s">
        <v>341</v>
      </c>
      <c r="O32" s="132"/>
      <c r="P32" s="132" t="s">
        <v>341</v>
      </c>
      <c r="Q32" s="170"/>
    </row>
    <row r="33" spans="1:17" s="165" customFormat="1" ht="13.8" x14ac:dyDescent="0.3">
      <c r="A33" s="132"/>
      <c r="B33" s="132" t="s">
        <v>369</v>
      </c>
      <c r="C33" s="170"/>
      <c r="D33" s="132" t="s">
        <v>371</v>
      </c>
      <c r="E33" s="170"/>
      <c r="F33" s="132" t="s">
        <v>373</v>
      </c>
      <c r="G33" s="170"/>
      <c r="H33" s="132" t="s">
        <v>375</v>
      </c>
      <c r="I33" s="170"/>
      <c r="J33" s="132" t="s">
        <v>379</v>
      </c>
      <c r="K33" s="132"/>
      <c r="L33" s="132" t="s">
        <v>381</v>
      </c>
      <c r="M33" s="132"/>
      <c r="N33" s="132" t="s">
        <v>376</v>
      </c>
      <c r="O33" s="132"/>
      <c r="P33" s="132" t="s">
        <v>377</v>
      </c>
      <c r="Q33" s="170"/>
    </row>
    <row r="34" spans="1:17" s="165" customFormat="1" ht="13.8" x14ac:dyDescent="0.3">
      <c r="A34" s="132"/>
      <c r="B34" s="132" t="s">
        <v>135</v>
      </c>
      <c r="C34" s="170"/>
      <c r="D34" s="132" t="s">
        <v>135</v>
      </c>
      <c r="E34" s="170"/>
      <c r="F34" s="132" t="s">
        <v>135</v>
      </c>
      <c r="G34" s="170"/>
      <c r="H34" s="132" t="s">
        <v>135</v>
      </c>
      <c r="I34" s="170"/>
      <c r="J34" s="132" t="s">
        <v>135</v>
      </c>
      <c r="K34" s="132"/>
      <c r="L34" s="132" t="s">
        <v>382</v>
      </c>
      <c r="M34" s="132"/>
      <c r="N34" s="132" t="s">
        <v>135</v>
      </c>
      <c r="O34" s="132"/>
      <c r="P34" s="132" t="s">
        <v>135</v>
      </c>
      <c r="Q34" s="170"/>
    </row>
    <row r="35" spans="1:17" s="161" customFormat="1" ht="13.8" x14ac:dyDescent="0.3">
      <c r="A35" s="166" t="s">
        <v>584</v>
      </c>
      <c r="B35" s="172">
        <f>D12+D14</f>
        <v>952.37618236870821</v>
      </c>
      <c r="C35" s="173"/>
      <c r="D35" s="172">
        <f>D27</f>
        <v>217.41654282261291</v>
      </c>
      <c r="E35" s="173"/>
      <c r="F35" s="174">
        <f>B35-D35</f>
        <v>734.95963954609533</v>
      </c>
      <c r="G35" s="173"/>
      <c r="H35" s="175">
        <f>IF(F35&lt;F27,F35,F27)</f>
        <v>734.95963954609533</v>
      </c>
      <c r="I35" s="173"/>
      <c r="J35" s="176">
        <f>B35-D35-H35</f>
        <v>0</v>
      </c>
      <c r="K35" s="173"/>
      <c r="L35" s="177">
        <v>0</v>
      </c>
      <c r="M35" s="173"/>
      <c r="N35" s="172">
        <f>J35*L35/100</f>
        <v>0</v>
      </c>
      <c r="O35" s="173"/>
      <c r="P35" s="176">
        <f>B35-D35-H35-N35</f>
        <v>0</v>
      </c>
      <c r="Q35" s="173"/>
    </row>
    <row r="36" spans="1:17" s="161" customFormat="1" ht="13.8" x14ac:dyDescent="0.3">
      <c r="A36" s="169" t="s">
        <v>359</v>
      </c>
      <c r="B36" s="172">
        <f>D15</f>
        <v>367.47981977304761</v>
      </c>
      <c r="C36" s="173"/>
      <c r="D36" s="172">
        <f>D28</f>
        <v>74.753194139507343</v>
      </c>
      <c r="E36" s="173"/>
      <c r="F36" s="174">
        <f>B36-D36</f>
        <v>292.72662563354027</v>
      </c>
      <c r="G36" s="173"/>
      <c r="H36" s="175">
        <f>IF(F36&lt;F28,F36,F28)</f>
        <v>292.72662563354027</v>
      </c>
      <c r="I36" s="173"/>
      <c r="J36" s="176">
        <f>B36-D36-H36</f>
        <v>0</v>
      </c>
      <c r="K36" s="173"/>
      <c r="L36" s="177">
        <v>100</v>
      </c>
      <c r="M36" s="173"/>
      <c r="N36" s="172">
        <f>J36*L36/100</f>
        <v>0</v>
      </c>
      <c r="O36" s="173"/>
      <c r="P36" s="176">
        <f t="shared" ref="P36" si="1">B36-D36-H36-N36</f>
        <v>0</v>
      </c>
      <c r="Q36" s="173"/>
    </row>
    <row r="37" spans="1:17" s="161" customFormat="1" ht="13.8" x14ac:dyDescent="0.3">
      <c r="A37" s="158" t="s">
        <v>589</v>
      </c>
      <c r="B37" s="172">
        <f>D16</f>
        <v>0</v>
      </c>
      <c r="C37" s="173"/>
      <c r="D37" s="171" t="s">
        <v>134</v>
      </c>
      <c r="E37" s="173"/>
      <c r="F37" s="178">
        <f>B37</f>
        <v>0</v>
      </c>
      <c r="G37" s="173"/>
      <c r="H37" s="175">
        <f>IF(F37&lt;F29,F37,F29)</f>
        <v>0</v>
      </c>
      <c r="I37" s="173"/>
      <c r="J37" s="176">
        <f>B37-H37</f>
        <v>0</v>
      </c>
      <c r="K37" s="173"/>
      <c r="L37" s="177">
        <v>100</v>
      </c>
      <c r="M37" s="173"/>
      <c r="N37" s="172">
        <f>J37*L37/100</f>
        <v>0</v>
      </c>
      <c r="O37" s="173"/>
      <c r="P37" s="176">
        <f>B37-H37-N37</f>
        <v>0</v>
      </c>
      <c r="Q37" s="173"/>
    </row>
    <row r="38" spans="1:17" s="161" customFormat="1" ht="13.8" x14ac:dyDescent="0.3">
      <c r="A38" s="158" t="s">
        <v>590</v>
      </c>
      <c r="B38" s="172">
        <f>D17</f>
        <v>0</v>
      </c>
      <c r="C38" s="173"/>
      <c r="D38" s="179" t="s">
        <v>134</v>
      </c>
      <c r="E38" s="173"/>
      <c r="F38" s="178">
        <f>B38</f>
        <v>0</v>
      </c>
      <c r="G38" s="173"/>
      <c r="H38" s="175">
        <f>F29</f>
        <v>0</v>
      </c>
      <c r="I38" s="173"/>
      <c r="J38" s="176">
        <f>B38-H38</f>
        <v>0</v>
      </c>
      <c r="K38" s="173"/>
      <c r="L38" s="180">
        <v>100</v>
      </c>
      <c r="M38" s="173"/>
      <c r="N38" s="172">
        <f t="shared" ref="N38:N39" si="2">J38*L38/100</f>
        <v>0</v>
      </c>
      <c r="O38" s="173"/>
      <c r="P38" s="176">
        <f>B38-H38-N38</f>
        <v>0</v>
      </c>
      <c r="Q38" s="173"/>
    </row>
    <row r="39" spans="1:17" s="161" customFormat="1" ht="13.8" x14ac:dyDescent="0.3">
      <c r="A39" s="181" t="s">
        <v>352</v>
      </c>
      <c r="B39" s="182">
        <f>D18</f>
        <v>0</v>
      </c>
      <c r="C39" s="183"/>
      <c r="D39" s="181" t="s">
        <v>134</v>
      </c>
      <c r="E39" s="183"/>
      <c r="F39" s="181" t="s">
        <v>134</v>
      </c>
      <c r="G39" s="183"/>
      <c r="H39" s="181" t="s">
        <v>134</v>
      </c>
      <c r="I39" s="183"/>
      <c r="J39" s="182">
        <f>B39</f>
        <v>0</v>
      </c>
      <c r="K39" s="183"/>
      <c r="L39" s="180">
        <v>100</v>
      </c>
      <c r="M39" s="183"/>
      <c r="N39" s="182">
        <f t="shared" si="2"/>
        <v>0</v>
      </c>
      <c r="O39" s="183"/>
      <c r="P39" s="184">
        <f>B39-N39</f>
        <v>0</v>
      </c>
      <c r="Q39" s="183"/>
    </row>
    <row r="40" spans="1:17" s="57" customFormat="1" x14ac:dyDescent="0.3">
      <c r="B40" s="126"/>
    </row>
    <row r="41" spans="1:17" s="57" customFormat="1" x14ac:dyDescent="0.3">
      <c r="B41" s="126"/>
      <c r="F41" s="185"/>
    </row>
    <row r="42" spans="1:17" s="58" customFormat="1" x14ac:dyDescent="0.3">
      <c r="B42" s="186"/>
    </row>
    <row r="43" spans="1:17" s="58" customFormat="1" x14ac:dyDescent="0.3">
      <c r="B43" s="186"/>
      <c r="F43" s="187"/>
    </row>
    <row r="44" spans="1:17" s="58" customFormat="1" x14ac:dyDescent="0.3">
      <c r="B44" s="186"/>
      <c r="E44" s="188"/>
      <c r="F44" s="189"/>
    </row>
    <row r="45" spans="1:17" s="58" customFormat="1" x14ac:dyDescent="0.3">
      <c r="B45" s="186"/>
    </row>
    <row r="46" spans="1:17" s="58" customFormat="1" x14ac:dyDescent="0.3">
      <c r="B46" s="190"/>
    </row>
    <row r="47" spans="1:17" s="58" customFormat="1" x14ac:dyDescent="0.3">
      <c r="B47" s="190"/>
    </row>
    <row r="48" spans="1:17" s="58" customFormat="1" x14ac:dyDescent="0.3">
      <c r="B48" s="186"/>
    </row>
    <row r="49" spans="1:2" s="58" customFormat="1" x14ac:dyDescent="0.3">
      <c r="B49" s="186"/>
    </row>
    <row r="50" spans="1:2" s="58" customFormat="1" x14ac:dyDescent="0.3">
      <c r="B50" s="186"/>
    </row>
    <row r="51" spans="1:2" s="58" customFormat="1" x14ac:dyDescent="0.3">
      <c r="A51" s="189"/>
      <c r="B51" s="186"/>
    </row>
    <row r="52" spans="1:2" s="58" customFormat="1" x14ac:dyDescent="0.3">
      <c r="B52" s="186"/>
    </row>
    <row r="53" spans="1:2" s="58" customFormat="1" x14ac:dyDescent="0.3">
      <c r="B53" s="186"/>
    </row>
    <row r="54" spans="1:2" s="58" customFormat="1" x14ac:dyDescent="0.3">
      <c r="B54" s="186"/>
    </row>
    <row r="68" spans="1:2" x14ac:dyDescent="0.3">
      <c r="A68" s="191"/>
      <c r="B68" s="191"/>
    </row>
    <row r="69" spans="1:2" x14ac:dyDescent="0.3">
      <c r="A69" s="193"/>
      <c r="B69" s="194"/>
    </row>
    <row r="70" spans="1:2" x14ac:dyDescent="0.3">
      <c r="A70" s="193"/>
      <c r="B70" s="194"/>
    </row>
    <row r="71" spans="1:2" x14ac:dyDescent="0.3">
      <c r="A71" s="193"/>
      <c r="B71" s="194"/>
    </row>
    <row r="72" spans="1:2" x14ac:dyDescent="0.3">
      <c r="A72" s="193"/>
      <c r="B72" s="194"/>
    </row>
    <row r="73" spans="1:2" x14ac:dyDescent="0.3">
      <c r="A73" s="193"/>
      <c r="B73" s="194"/>
    </row>
    <row r="74" spans="1:2" x14ac:dyDescent="0.3">
      <c r="A74" s="193"/>
      <c r="B74" s="194"/>
    </row>
    <row r="75" spans="1:2" x14ac:dyDescent="0.3">
      <c r="A75" s="193"/>
      <c r="B75" s="194"/>
    </row>
    <row r="76" spans="1:2" x14ac:dyDescent="0.3">
      <c r="A76" s="193"/>
      <c r="B76" s="194"/>
    </row>
    <row r="77" spans="1:2" x14ac:dyDescent="0.3">
      <c r="A77" s="193"/>
      <c r="B77" s="194"/>
    </row>
    <row r="78" spans="1:2" x14ac:dyDescent="0.3">
      <c r="A78" s="193"/>
      <c r="B78" s="194"/>
    </row>
    <row r="79" spans="1:2" x14ac:dyDescent="0.3">
      <c r="A79" s="195"/>
      <c r="B79" s="194"/>
    </row>
    <row r="80" spans="1:2" x14ac:dyDescent="0.3">
      <c r="A80" s="193"/>
      <c r="B80" s="194"/>
    </row>
    <row r="81" spans="1:9" x14ac:dyDescent="0.3">
      <c r="A81" s="193"/>
      <c r="B81" s="194"/>
    </row>
    <row r="82" spans="1:9" x14ac:dyDescent="0.3">
      <c r="A82" s="193"/>
      <c r="B82" s="194"/>
    </row>
    <row r="83" spans="1:9" x14ac:dyDescent="0.3">
      <c r="A83" s="193"/>
      <c r="B83" s="194"/>
    </row>
    <row r="84" spans="1:9" x14ac:dyDescent="0.3">
      <c r="A84" s="193"/>
      <c r="B84" s="194"/>
    </row>
    <row r="85" spans="1:9" x14ac:dyDescent="0.3">
      <c r="A85" s="193"/>
      <c r="B85" s="194"/>
    </row>
    <row r="86" spans="1:9" x14ac:dyDescent="0.3">
      <c r="A86" s="193"/>
      <c r="B86" s="194"/>
    </row>
    <row r="87" spans="1:9" x14ac:dyDescent="0.3">
      <c r="A87" s="196"/>
      <c r="B87" s="194"/>
    </row>
    <row r="88" spans="1:9" x14ac:dyDescent="0.3">
      <c r="A88" s="196"/>
      <c r="B88" s="194"/>
    </row>
    <row r="89" spans="1:9" x14ac:dyDescent="0.3">
      <c r="A89" s="196"/>
      <c r="B89" s="194"/>
    </row>
    <row r="90" spans="1:9" x14ac:dyDescent="0.3">
      <c r="A90" s="197"/>
      <c r="B90" s="198"/>
    </row>
    <row r="91" spans="1:9" x14ac:dyDescent="0.3">
      <c r="A91" s="197"/>
      <c r="B91" s="199"/>
    </row>
    <row r="92" spans="1:9" x14ac:dyDescent="0.3">
      <c r="A92" s="353"/>
      <c r="B92" s="351"/>
      <c r="C92" s="52"/>
      <c r="D92" s="52"/>
      <c r="E92" s="352"/>
      <c r="F92" s="52"/>
      <c r="G92" s="52"/>
      <c r="H92" s="52"/>
      <c r="I92" s="52"/>
    </row>
    <row r="93" spans="1:9" x14ac:dyDescent="0.3">
      <c r="A93" s="353" t="s">
        <v>23</v>
      </c>
      <c r="B93" s="354">
        <f>E93*'3. Technology'!B33*365</f>
        <v>17639.999999999996</v>
      </c>
      <c r="C93" s="52" t="s">
        <v>138</v>
      </c>
      <c r="D93" s="52"/>
      <c r="E93" s="355">
        <v>7.1999999999999995E-2</v>
      </c>
      <c r="F93" s="52" t="s">
        <v>139</v>
      </c>
      <c r="G93" s="52"/>
      <c r="H93" s="52"/>
      <c r="I93" s="52"/>
    </row>
    <row r="94" spans="1:9" x14ac:dyDescent="0.3">
      <c r="A94" s="353" t="s">
        <v>24</v>
      </c>
      <c r="B94" s="356">
        <f>E94*'3. Technology'!B33*365</f>
        <v>1959.9999999999998</v>
      </c>
      <c r="C94" s="52" t="s">
        <v>138</v>
      </c>
      <c r="D94" s="52"/>
      <c r="E94" s="355">
        <v>8.0000000000000002E-3</v>
      </c>
      <c r="F94" s="52"/>
      <c r="G94" s="52"/>
      <c r="H94" s="52"/>
      <c r="I94" s="52"/>
    </row>
    <row r="95" spans="1:9" x14ac:dyDescent="0.3">
      <c r="A95" s="353" t="s">
        <v>25</v>
      </c>
      <c r="B95" s="351">
        <v>0</v>
      </c>
      <c r="C95" s="52" t="s">
        <v>138</v>
      </c>
      <c r="D95" s="52"/>
      <c r="E95" s="355">
        <v>4.8000000000000001E-2</v>
      </c>
      <c r="F95" s="52"/>
      <c r="G95" s="52"/>
      <c r="H95" s="52"/>
      <c r="I95" s="52"/>
    </row>
    <row r="96" spans="1:9" x14ac:dyDescent="0.3">
      <c r="A96" s="353" t="s">
        <v>26</v>
      </c>
      <c r="B96" s="351">
        <v>0</v>
      </c>
      <c r="C96" s="52" t="s">
        <v>138</v>
      </c>
      <c r="D96" s="52"/>
      <c r="E96" s="355">
        <v>8.0000000000000002E-3</v>
      </c>
      <c r="F96" s="52"/>
      <c r="G96" s="52"/>
      <c r="H96" s="52"/>
      <c r="I96" s="52"/>
    </row>
    <row r="97" spans="1:9" x14ac:dyDescent="0.3">
      <c r="A97" s="353" t="s">
        <v>27</v>
      </c>
      <c r="B97" s="354">
        <f>E97*'1. Feedstock'!C48</f>
        <v>2100</v>
      </c>
      <c r="C97" s="52" t="s">
        <v>138</v>
      </c>
      <c r="D97" s="52"/>
      <c r="E97" s="355">
        <v>0.3</v>
      </c>
      <c r="F97" s="52"/>
      <c r="G97" s="52"/>
      <c r="H97" s="52"/>
      <c r="I97" s="52"/>
    </row>
    <row r="98" spans="1:9" x14ac:dyDescent="0.3">
      <c r="A98" s="353" t="s">
        <v>28</v>
      </c>
      <c r="B98" s="354">
        <f>E98*'3. Technology'!B4</f>
        <v>2400</v>
      </c>
      <c r="C98" s="52" t="s">
        <v>138</v>
      </c>
      <c r="D98" s="52"/>
      <c r="E98" s="355">
        <v>0.4</v>
      </c>
      <c r="F98" s="52"/>
      <c r="G98" s="52"/>
      <c r="H98" s="52"/>
      <c r="I98" s="52"/>
    </row>
    <row r="99" spans="1:9" x14ac:dyDescent="0.3">
      <c r="A99" s="353" t="s">
        <v>29</v>
      </c>
      <c r="B99" s="354">
        <f>SUM('3. Technology'!D8:D10)*'4. Energy'!E99*365</f>
        <v>792.00000000000011</v>
      </c>
      <c r="C99" s="52" t="s">
        <v>138</v>
      </c>
      <c r="D99" s="52"/>
      <c r="E99" s="355">
        <v>1.32E-2</v>
      </c>
      <c r="F99" s="52"/>
      <c r="G99" s="52"/>
      <c r="H99" s="52"/>
      <c r="I99" s="52"/>
    </row>
    <row r="100" spans="1:9" x14ac:dyDescent="0.3">
      <c r="A100" s="353" t="s">
        <v>30</v>
      </c>
      <c r="B100" s="354">
        <f>IF('3. Technology'!B26="Ei murskausta, pelkästään kiinteän syöttölaite (esim. syöttöruuvi)",E100*'3. Technology'!B13,0)</f>
        <v>0</v>
      </c>
      <c r="C100" s="52" t="s">
        <v>138</v>
      </c>
      <c r="D100" s="52"/>
      <c r="E100" s="355">
        <v>0.54</v>
      </c>
      <c r="F100" s="52"/>
      <c r="G100" s="52" t="s">
        <v>109</v>
      </c>
      <c r="H100" s="52"/>
      <c r="I100" s="52"/>
    </row>
    <row r="101" spans="1:9" x14ac:dyDescent="0.3">
      <c r="A101" s="353" t="s">
        <v>31</v>
      </c>
      <c r="B101" s="354">
        <f>E101*'3. Technology'!B13</f>
        <v>3500</v>
      </c>
      <c r="C101" s="52" t="s">
        <v>138</v>
      </c>
      <c r="D101" s="52"/>
      <c r="E101" s="355">
        <v>3.5</v>
      </c>
      <c r="F101" s="52" t="s">
        <v>106</v>
      </c>
      <c r="G101" s="52"/>
      <c r="H101" s="52"/>
      <c r="I101" s="52"/>
    </row>
    <row r="102" spans="1:9" x14ac:dyDescent="0.3">
      <c r="A102" s="353" t="s">
        <v>32</v>
      </c>
      <c r="B102" s="354">
        <f>E102*'1. Feedstock'!C48</f>
        <v>4200</v>
      </c>
      <c r="C102" s="52" t="s">
        <v>138</v>
      </c>
      <c r="D102" s="52"/>
      <c r="E102" s="355">
        <v>0.6</v>
      </c>
      <c r="F102" s="52"/>
      <c r="G102" s="52"/>
      <c r="H102" s="52"/>
      <c r="I102" s="52"/>
    </row>
    <row r="103" spans="1:9" x14ac:dyDescent="0.3">
      <c r="A103" s="353" t="s">
        <v>33</v>
      </c>
      <c r="B103" s="354">
        <f>SUM(D12:D15)/10*1000*E103</f>
        <v>13198.560021417559</v>
      </c>
      <c r="C103" s="52" t="s">
        <v>138</v>
      </c>
      <c r="D103" s="52"/>
      <c r="E103" s="355">
        <v>0.1</v>
      </c>
      <c r="F103" s="52"/>
      <c r="G103" s="52" t="s">
        <v>109</v>
      </c>
      <c r="H103" s="52"/>
      <c r="I103" s="52"/>
    </row>
    <row r="104" spans="1:9" x14ac:dyDescent="0.3">
      <c r="A104" s="353" t="s">
        <v>11</v>
      </c>
      <c r="B104" s="354">
        <f>E104*365</f>
        <v>26280</v>
      </c>
      <c r="C104" s="52" t="s">
        <v>138</v>
      </c>
      <c r="D104" s="52"/>
      <c r="E104" s="355">
        <v>72</v>
      </c>
      <c r="F104" s="52"/>
      <c r="G104" s="52"/>
      <c r="H104" s="52"/>
      <c r="I104" s="52"/>
    </row>
    <row r="105" spans="1:9" x14ac:dyDescent="0.3">
      <c r="A105" s="353" t="s">
        <v>34</v>
      </c>
      <c r="B105" s="354">
        <f>E105*'3. Technology'!B49</f>
        <v>0</v>
      </c>
      <c r="C105" s="52" t="s">
        <v>138</v>
      </c>
      <c r="D105" s="52"/>
      <c r="E105" s="355">
        <v>8.5000000000000006E-2</v>
      </c>
      <c r="F105" s="52"/>
      <c r="G105" s="52"/>
      <c r="H105" s="52"/>
      <c r="I105" s="52"/>
    </row>
    <row r="106" spans="1:9" x14ac:dyDescent="0.3">
      <c r="A106" s="353" t="s">
        <v>35</v>
      </c>
      <c r="B106" s="354">
        <f>E106*((D16+D17)*1000)</f>
        <v>0</v>
      </c>
      <c r="C106" s="52" t="s">
        <v>138</v>
      </c>
      <c r="D106" s="52"/>
      <c r="E106" s="355">
        <v>0.02</v>
      </c>
      <c r="F106" s="52" t="s">
        <v>99</v>
      </c>
      <c r="G106" s="52"/>
      <c r="H106" s="52"/>
      <c r="I106" s="52"/>
    </row>
    <row r="107" spans="1:9" x14ac:dyDescent="0.3">
      <c r="A107" s="353" t="s">
        <v>36</v>
      </c>
      <c r="B107" s="354">
        <f>E107*(D16+D17)*1000</f>
        <v>0</v>
      </c>
      <c r="C107" s="52" t="s">
        <v>138</v>
      </c>
      <c r="D107" s="52"/>
      <c r="E107" s="355">
        <v>0.03</v>
      </c>
      <c r="F107" s="52" t="s">
        <v>100</v>
      </c>
      <c r="G107" s="52"/>
      <c r="H107" s="52"/>
      <c r="I107" s="52"/>
    </row>
    <row r="108" spans="1:9" x14ac:dyDescent="0.3">
      <c r="A108" s="353" t="s">
        <v>37</v>
      </c>
      <c r="B108" s="354">
        <f>E108*(D17*1000)</f>
        <v>0</v>
      </c>
      <c r="C108" s="52" t="s">
        <v>138</v>
      </c>
      <c r="D108" s="52"/>
      <c r="E108" s="355">
        <v>5.0000000000000001E-3</v>
      </c>
      <c r="F108" s="52" t="s">
        <v>101</v>
      </c>
      <c r="G108" s="52"/>
      <c r="H108" s="52"/>
      <c r="I108" s="52"/>
    </row>
    <row r="109" spans="1:9" x14ac:dyDescent="0.3">
      <c r="A109" s="353" t="s">
        <v>38</v>
      </c>
      <c r="B109" s="354">
        <f>E109*('2. Plant type'!B13/0.9)</f>
        <v>0</v>
      </c>
      <c r="C109" s="52" t="s">
        <v>138</v>
      </c>
      <c r="D109" s="52"/>
      <c r="E109" s="355">
        <v>0.6</v>
      </c>
      <c r="F109" s="52" t="s">
        <v>102</v>
      </c>
      <c r="G109" s="52"/>
      <c r="H109" s="52"/>
      <c r="I109" s="52"/>
    </row>
    <row r="110" spans="1:9" x14ac:dyDescent="0.3">
      <c r="A110" s="357" t="s">
        <v>136</v>
      </c>
      <c r="B110" s="354">
        <f>IF('3. Technology'!B38="Ruuviseparointi",E110*'5. Nutrients'!D5,0)</f>
        <v>0</v>
      </c>
      <c r="C110" s="52" t="s">
        <v>138</v>
      </c>
      <c r="D110" s="52"/>
      <c r="E110" s="355">
        <v>0.6</v>
      </c>
      <c r="F110" s="52"/>
      <c r="G110" s="52"/>
      <c r="H110" s="52"/>
      <c r="I110" s="52"/>
    </row>
    <row r="111" spans="1:9" x14ac:dyDescent="0.3">
      <c r="A111" s="357" t="s">
        <v>140</v>
      </c>
      <c r="B111" s="354">
        <f>IF('3. Technology'!B38="Linkoseparointi",E111*'5. Nutrients'!D5,0)</f>
        <v>0</v>
      </c>
      <c r="C111" s="52" t="s">
        <v>138</v>
      </c>
      <c r="D111" s="52"/>
      <c r="E111" s="358">
        <v>2</v>
      </c>
      <c r="F111" s="52" t="s">
        <v>137</v>
      </c>
      <c r="G111" s="52"/>
      <c r="H111" s="52"/>
      <c r="I111" s="52"/>
    </row>
    <row r="112" spans="1:9" x14ac:dyDescent="0.3">
      <c r="A112" s="353" t="s">
        <v>39</v>
      </c>
      <c r="B112" s="354">
        <f>E112*'2. Plant type'!B13</f>
        <v>0</v>
      </c>
      <c r="C112" s="52" t="s">
        <v>138</v>
      </c>
      <c r="D112" s="52"/>
      <c r="E112" s="355">
        <v>0.4</v>
      </c>
      <c r="F112" s="52" t="s">
        <v>103</v>
      </c>
      <c r="G112" s="52"/>
      <c r="H112" s="52"/>
      <c r="I112" s="52"/>
    </row>
    <row r="113" spans="1:9" x14ac:dyDescent="0.3">
      <c r="A113" s="353" t="s">
        <v>40</v>
      </c>
      <c r="B113" s="354">
        <f>E113*'5. Nutrients'!D5</f>
        <v>2682.6341180897766</v>
      </c>
      <c r="C113" s="52"/>
      <c r="D113" s="52"/>
      <c r="E113" s="355">
        <v>0.4</v>
      </c>
      <c r="F113" s="52" t="s">
        <v>104</v>
      </c>
      <c r="G113" s="52"/>
      <c r="H113" s="52"/>
      <c r="I113" s="52"/>
    </row>
    <row r="114" spans="1:9" x14ac:dyDescent="0.3">
      <c r="A114" s="353" t="s">
        <v>41</v>
      </c>
      <c r="B114" s="354">
        <v>0</v>
      </c>
      <c r="C114" s="52"/>
      <c r="D114" s="52"/>
      <c r="E114" s="355">
        <v>1.32E-2</v>
      </c>
      <c r="F114" s="52" t="s">
        <v>105</v>
      </c>
      <c r="G114" s="52"/>
      <c r="H114" s="52"/>
      <c r="I114" s="52"/>
    </row>
    <row r="115" spans="1:9" x14ac:dyDescent="0.3">
      <c r="A115" s="353"/>
      <c r="B115" s="351"/>
      <c r="C115" s="52"/>
      <c r="D115" s="52"/>
      <c r="E115" s="52"/>
      <c r="F115" s="52"/>
      <c r="G115" s="52"/>
      <c r="H115" s="52"/>
      <c r="I115" s="52"/>
    </row>
    <row r="116" spans="1:9" ht="18" x14ac:dyDescent="0.35">
      <c r="A116" s="359" t="s">
        <v>42</v>
      </c>
      <c r="B116" s="360">
        <f>SUM(B93:B114)</f>
        <v>74753.194139507337</v>
      </c>
      <c r="C116" s="52"/>
      <c r="D116" s="52"/>
      <c r="E116" s="52"/>
      <c r="F116" s="52"/>
      <c r="G116" s="52"/>
      <c r="H116" s="52"/>
      <c r="I116" s="52"/>
    </row>
    <row r="117" spans="1:9" ht="15.6" x14ac:dyDescent="0.3">
      <c r="A117" s="361" t="s">
        <v>22</v>
      </c>
      <c r="B117" s="362">
        <f>B116/1000</f>
        <v>74.753194139507343</v>
      </c>
      <c r="C117" s="52" t="s">
        <v>22</v>
      </c>
      <c r="D117" s="52"/>
      <c r="E117" s="52"/>
      <c r="F117" s="52"/>
      <c r="G117" s="52"/>
      <c r="H117" s="52"/>
      <c r="I117" s="52"/>
    </row>
    <row r="118" spans="1:9" x14ac:dyDescent="0.3">
      <c r="A118" s="353"/>
      <c r="B118" s="351"/>
      <c r="C118" s="52"/>
      <c r="D118" s="52"/>
      <c r="E118" s="52"/>
      <c r="F118" s="52"/>
      <c r="G118" s="52"/>
      <c r="H118" s="52"/>
      <c r="I118" s="52"/>
    </row>
    <row r="119" spans="1:9" x14ac:dyDescent="0.3">
      <c r="A119" s="353" t="s">
        <v>98</v>
      </c>
      <c r="B119" s="363">
        <f>B117/B3</f>
        <v>5.1868610580494932E-2</v>
      </c>
      <c r="C119" s="52"/>
      <c r="D119" s="52"/>
      <c r="E119" s="52"/>
      <c r="F119" s="52"/>
      <c r="G119" s="52"/>
      <c r="H119" s="52"/>
      <c r="I119" s="52"/>
    </row>
    <row r="120" spans="1:9" x14ac:dyDescent="0.3">
      <c r="A120" s="52"/>
      <c r="B120" s="364"/>
      <c r="C120" s="52"/>
      <c r="D120" s="52"/>
      <c r="E120" s="52"/>
      <c r="F120" s="52"/>
      <c r="G120" s="52"/>
      <c r="H120" s="52"/>
      <c r="I120" s="52"/>
    </row>
    <row r="121" spans="1:9" x14ac:dyDescent="0.3">
      <c r="A121" s="52"/>
      <c r="B121" s="364"/>
      <c r="C121" s="52"/>
      <c r="D121" s="52"/>
      <c r="E121" s="52"/>
      <c r="F121" s="52"/>
      <c r="G121" s="52"/>
      <c r="H121" s="52"/>
      <c r="I121" s="52"/>
    </row>
    <row r="122" spans="1:9" x14ac:dyDescent="0.3">
      <c r="A122" s="365" t="s">
        <v>141</v>
      </c>
      <c r="B122" s="366"/>
      <c r="C122" s="113"/>
      <c r="D122" s="113"/>
      <c r="E122" s="52"/>
      <c r="F122" s="52"/>
      <c r="G122" s="52"/>
      <c r="H122" s="52"/>
      <c r="I122" s="52"/>
    </row>
    <row r="123" spans="1:9" x14ac:dyDescent="0.3">
      <c r="A123" s="52" t="s">
        <v>142</v>
      </c>
      <c r="B123" s="366">
        <f>'1. Feedstock'!C48</f>
        <v>7000</v>
      </c>
      <c r="C123" s="113"/>
      <c r="D123" s="113"/>
      <c r="E123" s="52"/>
      <c r="F123" s="52"/>
      <c r="G123" s="52"/>
      <c r="H123" s="52"/>
      <c r="I123" s="52"/>
    </row>
    <row r="124" spans="1:9" x14ac:dyDescent="0.3">
      <c r="A124" s="52" t="s">
        <v>143</v>
      </c>
      <c r="B124" s="367">
        <f>'1. Feedstock'!D47</f>
        <v>12</v>
      </c>
      <c r="C124" s="113"/>
      <c r="D124" s="113"/>
      <c r="E124" s="52"/>
      <c r="F124" s="52"/>
      <c r="G124" s="52"/>
      <c r="H124" s="52"/>
      <c r="I124" s="52"/>
    </row>
    <row r="125" spans="1:9" x14ac:dyDescent="0.3">
      <c r="A125" s="52" t="s">
        <v>144</v>
      </c>
      <c r="B125" s="367">
        <f>'1. Feedstock'!M47</f>
        <v>8.7142857142857135</v>
      </c>
      <c r="C125" s="113"/>
      <c r="D125" s="113"/>
      <c r="E125" s="52"/>
      <c r="F125" s="52"/>
      <c r="G125" s="52"/>
      <c r="H125" s="52"/>
      <c r="I125" s="52"/>
    </row>
    <row r="126" spans="1:9" x14ac:dyDescent="0.3">
      <c r="A126" s="52" t="s">
        <v>145</v>
      </c>
      <c r="B126" s="368">
        <f>(4.19-0.0275*B124)/3.6*B123*('3. Technology'!B32-B125)</f>
        <v>197288.88888888888</v>
      </c>
      <c r="C126" s="113"/>
      <c r="D126" s="113"/>
      <c r="E126" s="52"/>
      <c r="F126" s="52"/>
      <c r="G126" s="52"/>
      <c r="H126" s="52"/>
      <c r="I126" s="52"/>
    </row>
    <row r="127" spans="1:9" x14ac:dyDescent="0.3">
      <c r="A127" s="369" t="s">
        <v>146</v>
      </c>
      <c r="B127" s="366">
        <f>B126/365</f>
        <v>540.51750380517501</v>
      </c>
      <c r="C127" s="113"/>
      <c r="D127" s="113"/>
      <c r="E127" s="52"/>
      <c r="F127" s="52"/>
      <c r="G127" s="52"/>
      <c r="H127" s="52"/>
      <c r="I127" s="52"/>
    </row>
    <row r="128" spans="1:9" x14ac:dyDescent="0.3">
      <c r="A128" s="365" t="s">
        <v>12</v>
      </c>
      <c r="B128" s="366"/>
      <c r="C128" s="113"/>
      <c r="D128" s="113"/>
      <c r="E128" s="52"/>
      <c r="F128" s="52"/>
      <c r="G128" s="52"/>
      <c r="H128" s="52"/>
      <c r="I128" s="52"/>
    </row>
    <row r="129" spans="1:9" x14ac:dyDescent="0.3">
      <c r="A129" s="370" t="s">
        <v>13</v>
      </c>
      <c r="B129" s="367">
        <f>'3. Technology'!B53</f>
        <v>4</v>
      </c>
      <c r="C129" s="113"/>
      <c r="D129" s="113"/>
      <c r="E129" s="52"/>
      <c r="F129" s="52"/>
      <c r="G129" s="52"/>
      <c r="H129" s="52"/>
      <c r="I129" s="52"/>
    </row>
    <row r="130" spans="1:9" x14ac:dyDescent="0.3">
      <c r="A130" s="370" t="s">
        <v>14</v>
      </c>
      <c r="B130" s="367">
        <f>'3. Technology'!B54</f>
        <v>5</v>
      </c>
      <c r="C130" s="113"/>
      <c r="D130" s="113"/>
      <c r="E130" s="52"/>
      <c r="F130" s="52"/>
      <c r="G130" s="52"/>
      <c r="H130" s="52"/>
      <c r="I130" s="52"/>
    </row>
    <row r="131" spans="1:9" x14ac:dyDescent="0.3">
      <c r="A131" s="370" t="s">
        <v>601</v>
      </c>
      <c r="B131" s="366">
        <f>'3. Technology'!B33*1.1</f>
        <v>738.35616438356158</v>
      </c>
      <c r="C131" s="113"/>
      <c r="D131" s="113"/>
      <c r="E131" s="52"/>
      <c r="F131" s="52"/>
      <c r="G131" s="52"/>
      <c r="H131" s="52"/>
      <c r="I131" s="52"/>
    </row>
    <row r="132" spans="1:9" x14ac:dyDescent="0.3">
      <c r="A132" s="370" t="s">
        <v>15</v>
      </c>
      <c r="B132" s="371">
        <v>6.9</v>
      </c>
      <c r="C132" s="113"/>
      <c r="D132" s="113"/>
      <c r="E132" s="52"/>
      <c r="F132" s="52"/>
      <c r="G132" s="52"/>
      <c r="H132" s="52"/>
      <c r="I132" s="52"/>
    </row>
    <row r="133" spans="1:9" x14ac:dyDescent="0.3">
      <c r="A133" s="370" t="s">
        <v>16</v>
      </c>
      <c r="B133" s="371">
        <f>SQRT(B131/(PI()*B132))</f>
        <v>5.8362444079707467</v>
      </c>
      <c r="C133" s="113"/>
      <c r="D133" s="113"/>
      <c r="E133" s="52"/>
      <c r="F133" s="52"/>
      <c r="G133" s="52"/>
      <c r="H133" s="52"/>
      <c r="I133" s="52"/>
    </row>
    <row r="134" spans="1:9" x14ac:dyDescent="0.3">
      <c r="A134" s="370" t="s">
        <v>17</v>
      </c>
      <c r="B134" s="366">
        <f>PI()*B133^2</f>
        <v>107.00813976573355</v>
      </c>
      <c r="C134" s="113"/>
      <c r="D134" s="113"/>
      <c r="E134" s="52"/>
      <c r="F134" s="52"/>
      <c r="G134" s="52"/>
      <c r="H134" s="52"/>
      <c r="I134" s="52"/>
    </row>
    <row r="135" spans="1:9" x14ac:dyDescent="0.3">
      <c r="A135" s="370" t="s">
        <v>18</v>
      </c>
      <c r="B135" s="366">
        <f>B134</f>
        <v>107.00813976573355</v>
      </c>
      <c r="C135" s="113"/>
      <c r="D135" s="113"/>
      <c r="E135" s="52"/>
      <c r="F135" s="52"/>
      <c r="G135" s="52"/>
      <c r="H135" s="52"/>
      <c r="I135" s="52"/>
    </row>
    <row r="136" spans="1:9" x14ac:dyDescent="0.3">
      <c r="A136" s="370" t="s">
        <v>19</v>
      </c>
      <c r="B136" s="366">
        <f>2*PI()*B133*B132</f>
        <v>253.02441528156865</v>
      </c>
      <c r="C136" s="113"/>
      <c r="D136" s="113"/>
      <c r="E136" s="52"/>
      <c r="F136" s="52"/>
      <c r="G136" s="52"/>
      <c r="H136" s="52"/>
      <c r="I136" s="52"/>
    </row>
    <row r="137" spans="1:9" x14ac:dyDescent="0.3">
      <c r="A137" s="369" t="s">
        <v>20</v>
      </c>
      <c r="B137" s="366">
        <f>PI()*B133^2*B132</f>
        <v>738.35616438356146</v>
      </c>
      <c r="C137" s="113"/>
      <c r="D137" s="113"/>
      <c r="E137" s="52"/>
      <c r="F137" s="52"/>
      <c r="G137" s="52"/>
      <c r="H137" s="52"/>
      <c r="I137" s="52"/>
    </row>
    <row r="138" spans="1:9" x14ac:dyDescent="0.3">
      <c r="A138" s="370" t="s">
        <v>151</v>
      </c>
      <c r="B138" s="366"/>
      <c r="C138" s="113"/>
      <c r="D138" s="113"/>
      <c r="E138" s="52"/>
      <c r="F138" s="52"/>
      <c r="G138" s="52"/>
      <c r="H138" s="52"/>
      <c r="I138" s="52"/>
    </row>
    <row r="139" spans="1:9" x14ac:dyDescent="0.3">
      <c r="A139" s="372" t="s">
        <v>602</v>
      </c>
      <c r="B139" s="373">
        <v>3.5999999999999997E-2</v>
      </c>
      <c r="C139" s="113"/>
      <c r="D139" s="113"/>
      <c r="E139" s="52"/>
      <c r="F139" s="52"/>
      <c r="G139" s="52"/>
      <c r="H139" s="52"/>
      <c r="I139" s="52"/>
    </row>
    <row r="140" spans="1:9" x14ac:dyDescent="0.3">
      <c r="A140" s="370" t="s">
        <v>21</v>
      </c>
      <c r="B140" s="371">
        <v>0.12</v>
      </c>
      <c r="C140" s="113"/>
      <c r="D140" s="113"/>
      <c r="E140" s="52"/>
      <c r="F140" s="52"/>
      <c r="G140" s="52"/>
      <c r="H140" s="52"/>
      <c r="I140" s="52"/>
    </row>
    <row r="141" spans="1:9" ht="15" x14ac:dyDescent="0.3">
      <c r="A141" s="372" t="s">
        <v>603</v>
      </c>
      <c r="B141" s="371">
        <f>1/(B140/B139)</f>
        <v>0.3</v>
      </c>
      <c r="C141" s="113"/>
      <c r="D141" s="113"/>
      <c r="E141" s="52"/>
      <c r="F141" s="52"/>
      <c r="G141" s="52"/>
      <c r="H141" s="52"/>
      <c r="I141" s="52"/>
    </row>
    <row r="142" spans="1:9" ht="15.6" x14ac:dyDescent="0.35">
      <c r="A142" s="350" t="s">
        <v>604</v>
      </c>
      <c r="B142" s="368">
        <f>B141*(B135+B136)*('3. Technology'!B32-B129)*24/1000*365</f>
        <v>29331.132194593611</v>
      </c>
      <c r="C142" s="113"/>
      <c r="D142" s="113"/>
      <c r="E142" s="52"/>
      <c r="F142" s="52"/>
      <c r="G142" s="52"/>
      <c r="H142" s="52"/>
      <c r="I142" s="52"/>
    </row>
    <row r="143" spans="1:9" ht="15.6" x14ac:dyDescent="0.35">
      <c r="A143" s="350" t="s">
        <v>605</v>
      </c>
      <c r="B143" s="368">
        <f>B141*(B134)*('3. Technology'!B32-B130)*24/1000*365</f>
        <v>8436.5217391304323</v>
      </c>
      <c r="C143" s="113"/>
      <c r="D143" s="113"/>
      <c r="E143" s="52"/>
      <c r="F143" s="52"/>
      <c r="G143" s="52"/>
      <c r="H143" s="52"/>
      <c r="I143" s="52"/>
    </row>
    <row r="144" spans="1:9" x14ac:dyDescent="0.3">
      <c r="A144" s="350" t="s">
        <v>147</v>
      </c>
      <c r="B144" s="368">
        <f>'4. Energy'!B93</f>
        <v>17639.999999999996</v>
      </c>
      <c r="C144" s="113"/>
      <c r="D144" s="113"/>
      <c r="E144" s="52"/>
      <c r="F144" s="52"/>
      <c r="G144" s="52"/>
      <c r="H144" s="52"/>
      <c r="I144" s="52"/>
    </row>
    <row r="145" spans="1:9" x14ac:dyDescent="0.3">
      <c r="A145" s="350" t="s">
        <v>148</v>
      </c>
      <c r="B145" s="374">
        <f>B126+B142+B143-B144</f>
        <v>217416.54282261292</v>
      </c>
      <c r="C145" s="113"/>
      <c r="D145" s="113"/>
      <c r="E145" s="52"/>
      <c r="F145" s="52"/>
      <c r="G145" s="52"/>
      <c r="H145" s="52"/>
      <c r="I145" s="52"/>
    </row>
    <row r="146" spans="1:9" x14ac:dyDescent="0.3">
      <c r="A146" s="350" t="s">
        <v>149</v>
      </c>
      <c r="B146" s="375">
        <f>B145/1000</f>
        <v>217.41654282261291</v>
      </c>
      <c r="C146" s="113"/>
      <c r="D146" s="113"/>
      <c r="E146" s="52"/>
      <c r="F146" s="52"/>
      <c r="G146" s="52"/>
      <c r="H146" s="52"/>
      <c r="I146" s="52"/>
    </row>
    <row r="147" spans="1:9" x14ac:dyDescent="0.3">
      <c r="A147" s="113" t="s">
        <v>150</v>
      </c>
      <c r="B147" s="230">
        <f>B145/365</f>
        <v>595.66176115784356</v>
      </c>
      <c r="C147" s="113"/>
      <c r="D147" s="113"/>
      <c r="E147" s="52"/>
      <c r="F147" s="52"/>
      <c r="G147" s="52"/>
      <c r="H147" s="52"/>
      <c r="I147" s="52"/>
    </row>
  </sheetData>
  <sheetProtection algorithmName="SHA-512" hashValue="Qd/v/zldHwgX4n9RRWaXSKKNrTGfFcMM9WJBi5dI/ua11TyRzg6oTkxvTTzT2OGRvfL1kUaul24dOcXDqL6Zxg==" saltValue="WDRHvowGS5eDmnhCe/uptg==" spinCount="100000" sheet="1" objects="1" scenarios="1"/>
  <protectedRanges>
    <protectedRange sqref="B12:B13" name="Alue1"/>
    <protectedRange sqref="H12" name="Alue2"/>
    <protectedRange sqref="H14:H16" name="Alue3"/>
    <protectedRange sqref="B16:B19" name="Alue4"/>
    <protectedRange sqref="D27:D28" name="Alue5"/>
    <protectedRange sqref="F27:F30" name="Alue6"/>
    <protectedRange sqref="L35:L39" name="Alue7"/>
  </protectedRanges>
  <phoneticPr fontId="4" type="noConversion"/>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37D5F-E15E-479C-9BD3-C568DDFCC46E}">
  <dimension ref="A1:M91"/>
  <sheetViews>
    <sheetView workbookViewId="0">
      <selection activeCell="G14" sqref="G14"/>
    </sheetView>
  </sheetViews>
  <sheetFormatPr defaultRowHeight="14.4" x14ac:dyDescent="0.3"/>
  <cols>
    <col min="1" max="1" width="21.5546875" style="192" customWidth="1"/>
    <col min="2" max="4" width="8.88671875" style="192"/>
    <col min="5" max="5" width="10.109375" style="192" bestFit="1" customWidth="1"/>
    <col min="6" max="8" width="8.88671875" style="192"/>
    <col min="9" max="9" width="8.88671875" style="235"/>
    <col min="10" max="10" width="6.21875" style="192" customWidth="1"/>
    <col min="11" max="11" width="5" style="192" customWidth="1"/>
    <col min="12" max="12" width="4.77734375" style="192" customWidth="1"/>
    <col min="13" max="16384" width="8.88671875" style="192"/>
  </cols>
  <sheetData>
    <row r="1" spans="1:10" s="57" customFormat="1" ht="24" thickBot="1" x14ac:dyDescent="0.5">
      <c r="A1" s="13" t="s">
        <v>383</v>
      </c>
      <c r="B1" s="13"/>
      <c r="C1" s="13"/>
      <c r="D1" s="13"/>
      <c r="E1" s="13"/>
      <c r="F1" s="13"/>
      <c r="G1" s="13"/>
      <c r="H1" s="13"/>
      <c r="I1" s="13"/>
      <c r="J1" s="13"/>
    </row>
    <row r="2" spans="1:10" s="57" customFormat="1" ht="15" thickTop="1" x14ac:dyDescent="0.3">
      <c r="I2" s="201"/>
    </row>
    <row r="3" spans="1:10" s="57" customFormat="1" x14ac:dyDescent="0.3">
      <c r="A3" s="57" t="s">
        <v>384</v>
      </c>
      <c r="D3" s="202">
        <f>'1. Feedstock'!C48</f>
        <v>7000</v>
      </c>
      <c r="E3" s="57" t="s">
        <v>387</v>
      </c>
      <c r="I3" s="201"/>
    </row>
    <row r="4" spans="1:10" s="57" customFormat="1" x14ac:dyDescent="0.3">
      <c r="A4" s="57" t="s">
        <v>385</v>
      </c>
      <c r="D4" s="135">
        <f>(('4. Energy'!B3*1000/10*0.717/1000)+('4. Energy'!B5-'4. Energy'!B3*1000/10)*1.96/1000)</f>
        <v>293.4147047755585</v>
      </c>
      <c r="E4" s="57" t="s">
        <v>388</v>
      </c>
      <c r="I4" s="201"/>
    </row>
    <row r="5" spans="1:10" s="57" customFormat="1" x14ac:dyDescent="0.3">
      <c r="A5" s="57" t="s">
        <v>386</v>
      </c>
      <c r="D5" s="135">
        <f>'1. Feedstock'!C48-(('4. Energy'!B3*1000/10*0.717/1000)+('4. Energy'!B5-'4. Energy'!B3*1000/10)*1.96/1000)</f>
        <v>6706.5852952244413</v>
      </c>
      <c r="E5" s="57" t="s">
        <v>388</v>
      </c>
      <c r="I5" s="201"/>
    </row>
    <row r="6" spans="1:10" s="57" customFormat="1" x14ac:dyDescent="0.3">
      <c r="D6" s="135"/>
      <c r="I6" s="201"/>
    </row>
    <row r="7" spans="1:10" s="57" customFormat="1" ht="23.4" x14ac:dyDescent="0.45">
      <c r="A7" s="203" t="s">
        <v>389</v>
      </c>
      <c r="I7" s="201"/>
    </row>
    <row r="8" spans="1:10" s="133" customFormat="1" ht="14.4" customHeight="1" x14ac:dyDescent="0.3">
      <c r="A8" s="132" t="s">
        <v>390</v>
      </c>
      <c r="B8" s="132"/>
      <c r="C8" s="132"/>
      <c r="D8" s="204" t="s">
        <v>398</v>
      </c>
      <c r="E8" s="132"/>
      <c r="F8" s="132"/>
      <c r="G8" s="132"/>
      <c r="H8" s="132"/>
      <c r="I8" s="204" t="s">
        <v>399</v>
      </c>
      <c r="J8" s="132"/>
    </row>
    <row r="9" spans="1:10" s="57" customFormat="1" x14ac:dyDescent="0.3">
      <c r="A9" s="57" t="s">
        <v>391</v>
      </c>
      <c r="D9" s="138" t="s">
        <v>7</v>
      </c>
      <c r="I9" s="69">
        <f>D5</f>
        <v>6706.5852952244413</v>
      </c>
      <c r="J9" s="57" t="s">
        <v>9</v>
      </c>
    </row>
    <row r="10" spans="1:10" s="57" customFormat="1" x14ac:dyDescent="0.3">
      <c r="A10" s="57" t="s">
        <v>392</v>
      </c>
      <c r="D10" s="205">
        <f>I10/I$9*100</f>
        <v>8.149979030515702</v>
      </c>
      <c r="E10" s="58" t="s">
        <v>4</v>
      </c>
      <c r="I10" s="69">
        <f>'1. Feedstock'!D48-'5. Nutrients'!D4</f>
        <v>546.58529522444155</v>
      </c>
      <c r="J10" s="57" t="s">
        <v>9</v>
      </c>
    </row>
    <row r="11" spans="1:10" s="57" customFormat="1" x14ac:dyDescent="0.3">
      <c r="A11" s="57" t="s">
        <v>393</v>
      </c>
      <c r="D11" s="205">
        <f>I11/I$9*100</f>
        <v>6.0922999893162153</v>
      </c>
      <c r="E11" s="58" t="s">
        <v>4</v>
      </c>
      <c r="I11" s="69">
        <f>'1. Feedstock'!F48-'5. Nutrients'!D4</f>
        <v>408.5852952244415</v>
      </c>
      <c r="J11" s="57" t="s">
        <v>9</v>
      </c>
    </row>
    <row r="12" spans="1:10" s="57" customFormat="1" x14ac:dyDescent="0.3">
      <c r="A12" s="57" t="s">
        <v>394</v>
      </c>
      <c r="D12" s="206">
        <f>I12/I$9*1000</f>
        <v>5.6213405690739586</v>
      </c>
      <c r="E12" s="57" t="s">
        <v>5</v>
      </c>
      <c r="I12" s="138">
        <f>'1. Feedstock'!H48</f>
        <v>37.700000000000003</v>
      </c>
      <c r="J12" s="57" t="s">
        <v>9</v>
      </c>
    </row>
    <row r="13" spans="1:10" s="57" customFormat="1" x14ac:dyDescent="0.3">
      <c r="A13" s="57" t="s">
        <v>395</v>
      </c>
      <c r="D13" s="206">
        <f>I13/I$9*1000</f>
        <v>3.3870643522933346</v>
      </c>
      <c r="E13" s="57" t="s">
        <v>5</v>
      </c>
      <c r="I13" s="205">
        <f>'1. Feedstock'!I48+'5. Nutrients'!B71</f>
        <v>22.715635979069376</v>
      </c>
      <c r="J13" s="57" t="s">
        <v>9</v>
      </c>
    </row>
    <row r="14" spans="1:10" s="57" customFormat="1" x14ac:dyDescent="0.3">
      <c r="A14" s="57" t="s">
        <v>396</v>
      </c>
      <c r="D14" s="206">
        <f>I14/I$9*1000</f>
        <v>0.93937521446063488</v>
      </c>
      <c r="E14" s="57" t="s">
        <v>5</v>
      </c>
      <c r="I14" s="138">
        <f>'1. Feedstock'!J48</f>
        <v>6.3</v>
      </c>
      <c r="J14" s="57" t="s">
        <v>9</v>
      </c>
    </row>
    <row r="15" spans="1:10" s="57" customFormat="1" x14ac:dyDescent="0.3">
      <c r="A15" s="57" t="s">
        <v>397</v>
      </c>
      <c r="D15" s="206">
        <f>I15/I$9*1000</f>
        <v>5.2783940622073766</v>
      </c>
      <c r="E15" s="57" t="s">
        <v>5</v>
      </c>
      <c r="I15" s="138">
        <f>'1. Feedstock'!K48</f>
        <v>35.4</v>
      </c>
      <c r="J15" s="57" t="s">
        <v>9</v>
      </c>
    </row>
    <row r="16" spans="1:10" s="57" customFormat="1" x14ac:dyDescent="0.3">
      <c r="I16" s="201"/>
    </row>
    <row r="17" spans="1:13" s="57" customFormat="1" x14ac:dyDescent="0.3">
      <c r="A17" s="58" t="s">
        <v>400</v>
      </c>
      <c r="B17" s="58"/>
      <c r="I17" s="201"/>
    </row>
    <row r="18" spans="1:13" s="57" customFormat="1" x14ac:dyDescent="0.3">
      <c r="A18" s="57" t="s">
        <v>401</v>
      </c>
      <c r="G18" s="207">
        <f>B71*1000</f>
        <v>5015.6359790693759</v>
      </c>
      <c r="H18" s="57" t="s">
        <v>404</v>
      </c>
      <c r="K18" s="208">
        <f>B71/'1. Feedstock'!I48</f>
        <v>0.28336926435420207</v>
      </c>
      <c r="L18" s="57" t="s">
        <v>405</v>
      </c>
    </row>
    <row r="19" spans="1:13" s="57" customFormat="1" x14ac:dyDescent="0.3">
      <c r="A19" s="58" t="s">
        <v>403</v>
      </c>
      <c r="G19" s="209">
        <f>'7. Revenues and costs'!E19</f>
        <v>1.3</v>
      </c>
      <c r="H19" s="57" t="s">
        <v>76</v>
      </c>
      <c r="I19" s="61" t="s">
        <v>406</v>
      </c>
      <c r="J19" s="61"/>
      <c r="M19" s="61"/>
    </row>
    <row r="20" spans="1:13" s="57" customFormat="1" x14ac:dyDescent="0.3">
      <c r="A20" s="57" t="s">
        <v>402</v>
      </c>
      <c r="G20" s="207">
        <f>G18*G19</f>
        <v>6520.3267727901894</v>
      </c>
      <c r="H20" s="57" t="s">
        <v>77</v>
      </c>
    </row>
    <row r="21" spans="1:13" s="57" customFormat="1" x14ac:dyDescent="0.3">
      <c r="I21" s="201"/>
    </row>
    <row r="22" spans="1:13" s="57" customFormat="1" ht="21" x14ac:dyDescent="0.4">
      <c r="A22" s="210" t="s">
        <v>414</v>
      </c>
      <c r="I22" s="201"/>
    </row>
    <row r="23" spans="1:13" s="211" customFormat="1" ht="18" x14ac:dyDescent="0.35">
      <c r="A23" s="211" t="s">
        <v>407</v>
      </c>
      <c r="D23" s="212" t="str">
        <f>'3. Technology'!B38</f>
        <v>No separation</v>
      </c>
      <c r="E23" s="213"/>
      <c r="G23" s="214" t="s">
        <v>408</v>
      </c>
      <c r="I23" s="215"/>
    </row>
    <row r="24" spans="1:13" s="57" customFormat="1" x14ac:dyDescent="0.3">
      <c r="I24" s="201"/>
    </row>
    <row r="25" spans="1:13" s="57" customFormat="1" x14ac:dyDescent="0.3">
      <c r="A25" s="58" t="s">
        <v>409</v>
      </c>
      <c r="B25" s="58"/>
      <c r="I25" s="201"/>
    </row>
    <row r="26" spans="1:13" s="57" customFormat="1" x14ac:dyDescent="0.3">
      <c r="I26" s="201"/>
    </row>
    <row r="27" spans="1:13" s="57" customFormat="1" ht="23.4" x14ac:dyDescent="0.45">
      <c r="A27" s="157" t="s">
        <v>411</v>
      </c>
      <c r="I27" s="201"/>
    </row>
    <row r="28" spans="1:13" s="133" customFormat="1" ht="14.4" customHeight="1" x14ac:dyDescent="0.3">
      <c r="A28" s="132" t="s">
        <v>390</v>
      </c>
      <c r="B28" s="132"/>
      <c r="C28" s="132" t="s">
        <v>410</v>
      </c>
      <c r="D28" s="204"/>
      <c r="E28" s="204"/>
      <c r="F28" s="204" t="s">
        <v>398</v>
      </c>
      <c r="G28" s="132"/>
      <c r="H28" s="132"/>
      <c r="I28" s="204" t="s">
        <v>399</v>
      </c>
      <c r="J28" s="132"/>
    </row>
    <row r="29" spans="1:13" s="57" customFormat="1" x14ac:dyDescent="0.3">
      <c r="A29" s="57" t="s">
        <v>391</v>
      </c>
      <c r="C29" s="138" t="str" cm="1">
        <f t="array" ref="C29">_xlfn.IFS('3. Technology'!$B$38="Screw press",G52,'3. Technology'!$B$38="Centrifuge",B52,'3. Technology'!$B$38="No separation","-")</f>
        <v>-</v>
      </c>
      <c r="E29" s="138" t="s">
        <v>7</v>
      </c>
      <c r="I29" s="216" t="str">
        <f>IF(C29="-","-",C29/100*I9)</f>
        <v>-</v>
      </c>
      <c r="J29" s="57" t="s">
        <v>9</v>
      </c>
      <c r="L29" s="217" t="s">
        <v>153</v>
      </c>
    </row>
    <row r="30" spans="1:13" s="57" customFormat="1" x14ac:dyDescent="0.3">
      <c r="A30" s="57" t="s">
        <v>392</v>
      </c>
      <c r="C30" s="138" t="str" cm="1">
        <f t="array" ref="C30">_xlfn.IFS('3. Technology'!$B$38="Screw press",G53,'3. Technology'!$B$38="Centrifuge",B53,'3. Technology'!$B$38="No separation","-")</f>
        <v>-</v>
      </c>
      <c r="E30" s="205" t="str">
        <f>IF(C30="-","-",I30/I$29*100)</f>
        <v>-</v>
      </c>
      <c r="F30" s="58" t="s">
        <v>4</v>
      </c>
      <c r="I30" s="216" t="str">
        <f t="shared" ref="I30:I35" si="0">IF(C30="-","-",C30/100*I10)</f>
        <v>-</v>
      </c>
      <c r="J30" s="57" t="s">
        <v>9</v>
      </c>
    </row>
    <row r="31" spans="1:13" s="57" customFormat="1" x14ac:dyDescent="0.3">
      <c r="A31" s="57" t="s">
        <v>393</v>
      </c>
      <c r="C31" s="138" t="str" cm="1">
        <f t="array" ref="C31">_xlfn.IFS('3. Technology'!$B$38="Screw press",G54,'3. Technology'!$B$38="Centrifuge",B54,'3. Technology'!$B$38="No separation","-")</f>
        <v>-</v>
      </c>
      <c r="E31" s="205" t="str">
        <f t="shared" ref="E31:E35" si="1">IF(C31="-","-",I31/I$29*100)</f>
        <v>-</v>
      </c>
      <c r="F31" s="58" t="s">
        <v>4</v>
      </c>
      <c r="I31" s="216" t="str">
        <f t="shared" si="0"/>
        <v>-</v>
      </c>
      <c r="J31" s="57" t="s">
        <v>9</v>
      </c>
    </row>
    <row r="32" spans="1:13" s="57" customFormat="1" x14ac:dyDescent="0.3">
      <c r="A32" s="57" t="s">
        <v>394</v>
      </c>
      <c r="C32" s="138" t="str" cm="1">
        <f t="array" ref="C32">_xlfn.IFS('3. Technology'!$B$38="Screw press",G55,'3. Technology'!$B$38="Centrifuge",B55,'3. Technology'!$B$38="No separation","-")</f>
        <v>-</v>
      </c>
      <c r="E32" s="206" t="str">
        <f t="shared" si="1"/>
        <v>-</v>
      </c>
      <c r="F32" s="57" t="s">
        <v>5</v>
      </c>
      <c r="I32" s="205" t="str">
        <f t="shared" si="0"/>
        <v>-</v>
      </c>
      <c r="J32" s="57" t="s">
        <v>9</v>
      </c>
    </row>
    <row r="33" spans="1:12" s="57" customFormat="1" x14ac:dyDescent="0.3">
      <c r="A33" s="57" t="s">
        <v>395</v>
      </c>
      <c r="C33" s="138" t="str" cm="1">
        <f t="array" ref="C33">_xlfn.IFS('3. Technology'!$B$38="Screw press",G56,'3. Technology'!$B$38="Centrifuge",B56,'3. Technology'!$B$38="No separation","-")</f>
        <v>-</v>
      </c>
      <c r="E33" s="206" t="str">
        <f t="shared" si="1"/>
        <v>-</v>
      </c>
      <c r="F33" s="57" t="s">
        <v>5</v>
      </c>
      <c r="I33" s="205" t="str">
        <f t="shared" si="0"/>
        <v>-</v>
      </c>
      <c r="J33" s="57" t="s">
        <v>9</v>
      </c>
    </row>
    <row r="34" spans="1:12" s="57" customFormat="1" x14ac:dyDescent="0.3">
      <c r="A34" s="57" t="s">
        <v>396</v>
      </c>
      <c r="C34" s="138" t="str" cm="1">
        <f t="array" ref="C34">_xlfn.IFS('3. Technology'!$B$38="Screw press",G57,'3. Technology'!$B$38="Centrifuge",B57,'3. Technology'!$B$38="No separation","-")</f>
        <v>-</v>
      </c>
      <c r="E34" s="206" t="str">
        <f t="shared" si="1"/>
        <v>-</v>
      </c>
      <c r="F34" s="57" t="s">
        <v>5</v>
      </c>
      <c r="I34" s="205" t="str">
        <f t="shared" si="0"/>
        <v>-</v>
      </c>
      <c r="J34" s="57" t="s">
        <v>9</v>
      </c>
    </row>
    <row r="35" spans="1:12" s="57" customFormat="1" x14ac:dyDescent="0.3">
      <c r="A35" s="57" t="s">
        <v>397</v>
      </c>
      <c r="C35" s="138" t="str" cm="1">
        <f t="array" ref="C35">_xlfn.IFS('3. Technology'!$B$38="Screw press",G58,'3. Technology'!$B$38="Centrifuge",B58,'3. Technology'!$B$38="No separation","-")</f>
        <v>-</v>
      </c>
      <c r="E35" s="206" t="str">
        <f t="shared" si="1"/>
        <v>-</v>
      </c>
      <c r="F35" s="57" t="s">
        <v>5</v>
      </c>
      <c r="I35" s="205" t="str">
        <f t="shared" si="0"/>
        <v>-</v>
      </c>
      <c r="J35" s="57" t="s">
        <v>9</v>
      </c>
    </row>
    <row r="36" spans="1:12" s="57" customFormat="1" x14ac:dyDescent="0.3">
      <c r="I36" s="201"/>
    </row>
    <row r="37" spans="1:12" s="57" customFormat="1" ht="23.4" x14ac:dyDescent="0.45">
      <c r="A37" s="157" t="s">
        <v>412</v>
      </c>
      <c r="I37" s="201"/>
    </row>
    <row r="38" spans="1:12" s="133" customFormat="1" ht="14.4" customHeight="1" x14ac:dyDescent="0.3">
      <c r="A38" s="259" t="s">
        <v>390</v>
      </c>
      <c r="B38" s="259"/>
      <c r="C38" s="259" t="s">
        <v>410</v>
      </c>
      <c r="D38" s="204"/>
      <c r="E38" s="204"/>
      <c r="F38" s="204" t="s">
        <v>398</v>
      </c>
      <c r="G38" s="259"/>
      <c r="H38" s="259"/>
      <c r="I38" s="204" t="s">
        <v>399</v>
      </c>
      <c r="J38" s="259"/>
    </row>
    <row r="39" spans="1:12" s="57" customFormat="1" x14ac:dyDescent="0.3">
      <c r="A39" s="57" t="s">
        <v>391</v>
      </c>
      <c r="C39" s="138" t="str">
        <f>IF(C29="-","-",100-C29)</f>
        <v>-</v>
      </c>
      <c r="E39" s="138" t="s">
        <v>7</v>
      </c>
      <c r="I39" s="216" t="str">
        <f>IF(C39="-","-",C39/100*I9)</f>
        <v>-</v>
      </c>
      <c r="J39" s="57" t="s">
        <v>9</v>
      </c>
      <c r="L39" s="218"/>
    </row>
    <row r="40" spans="1:12" s="57" customFormat="1" x14ac:dyDescent="0.3">
      <c r="A40" s="57" t="s">
        <v>392</v>
      </c>
      <c r="C40" s="138" t="str">
        <f t="shared" ref="C40:C45" si="2">IF(C30="-","-",100-C30)</f>
        <v>-</v>
      </c>
      <c r="E40" s="205" t="str">
        <f>IF(C40="-","-",I40/I$39*100)</f>
        <v>-</v>
      </c>
      <c r="F40" s="58" t="s">
        <v>4</v>
      </c>
      <c r="I40" s="216" t="str">
        <f t="shared" ref="I40:I45" si="3">IF(C40="-","-",C40/100*I10)</f>
        <v>-</v>
      </c>
      <c r="J40" s="57" t="s">
        <v>9</v>
      </c>
    </row>
    <row r="41" spans="1:12" s="57" customFormat="1" x14ac:dyDescent="0.3">
      <c r="A41" s="57" t="s">
        <v>393</v>
      </c>
      <c r="C41" s="138" t="str">
        <f t="shared" si="2"/>
        <v>-</v>
      </c>
      <c r="E41" s="205" t="str">
        <f t="shared" ref="E41:E45" si="4">IF(C41="-","-",I41/I$39*100)</f>
        <v>-</v>
      </c>
      <c r="F41" s="58" t="s">
        <v>4</v>
      </c>
      <c r="I41" s="216" t="str">
        <f t="shared" si="3"/>
        <v>-</v>
      </c>
      <c r="J41" s="57" t="s">
        <v>9</v>
      </c>
    </row>
    <row r="42" spans="1:12" s="57" customFormat="1" x14ac:dyDescent="0.3">
      <c r="A42" s="57" t="s">
        <v>394</v>
      </c>
      <c r="C42" s="138" t="str">
        <f t="shared" si="2"/>
        <v>-</v>
      </c>
      <c r="E42" s="206" t="str">
        <f t="shared" si="4"/>
        <v>-</v>
      </c>
      <c r="F42" s="57" t="s">
        <v>5</v>
      </c>
      <c r="I42" s="205" t="str">
        <f t="shared" si="3"/>
        <v>-</v>
      </c>
      <c r="J42" s="57" t="s">
        <v>9</v>
      </c>
    </row>
    <row r="43" spans="1:12" s="57" customFormat="1" x14ac:dyDescent="0.3">
      <c r="A43" s="57" t="s">
        <v>395</v>
      </c>
      <c r="C43" s="138" t="str">
        <f t="shared" si="2"/>
        <v>-</v>
      </c>
      <c r="E43" s="206" t="str">
        <f t="shared" si="4"/>
        <v>-</v>
      </c>
      <c r="F43" s="57" t="s">
        <v>5</v>
      </c>
      <c r="I43" s="205" t="str">
        <f t="shared" si="3"/>
        <v>-</v>
      </c>
      <c r="J43" s="57" t="s">
        <v>9</v>
      </c>
    </row>
    <row r="44" spans="1:12" s="57" customFormat="1" x14ac:dyDescent="0.3">
      <c r="A44" s="57" t="s">
        <v>396</v>
      </c>
      <c r="C44" s="138" t="str">
        <f t="shared" si="2"/>
        <v>-</v>
      </c>
      <c r="E44" s="206" t="str">
        <f t="shared" si="4"/>
        <v>-</v>
      </c>
      <c r="F44" s="57" t="s">
        <v>5</v>
      </c>
      <c r="I44" s="205" t="str">
        <f t="shared" si="3"/>
        <v>-</v>
      </c>
      <c r="J44" s="57" t="s">
        <v>9</v>
      </c>
    </row>
    <row r="45" spans="1:12" s="57" customFormat="1" x14ac:dyDescent="0.3">
      <c r="A45" s="57" t="s">
        <v>397</v>
      </c>
      <c r="C45" s="138" t="str">
        <f t="shared" si="2"/>
        <v>-</v>
      </c>
      <c r="E45" s="206" t="str">
        <f t="shared" si="4"/>
        <v>-</v>
      </c>
      <c r="F45" s="57" t="s">
        <v>5</v>
      </c>
      <c r="I45" s="205" t="str">
        <f t="shared" si="3"/>
        <v>-</v>
      </c>
      <c r="J45" s="57" t="s">
        <v>9</v>
      </c>
    </row>
    <row r="46" spans="1:12" s="57" customFormat="1" x14ac:dyDescent="0.3">
      <c r="I46" s="201"/>
    </row>
    <row r="47" spans="1:12" s="57" customFormat="1" x14ac:dyDescent="0.3">
      <c r="I47" s="201"/>
    </row>
    <row r="48" spans="1:12" s="57" customFormat="1" ht="23.4" x14ac:dyDescent="0.45">
      <c r="A48" s="157" t="s">
        <v>415</v>
      </c>
      <c r="I48" s="201"/>
    </row>
    <row r="49" spans="1:11" s="57" customFormat="1" x14ac:dyDescent="0.3">
      <c r="I49" s="201"/>
    </row>
    <row r="50" spans="1:11" s="57" customFormat="1" ht="21" x14ac:dyDescent="0.4">
      <c r="A50" s="219" t="s">
        <v>416</v>
      </c>
      <c r="B50" s="146"/>
      <c r="C50" s="220"/>
      <c r="E50" s="219" t="s">
        <v>417</v>
      </c>
      <c r="F50" s="146"/>
      <c r="G50" s="146"/>
      <c r="H50" s="220"/>
      <c r="J50" s="201"/>
    </row>
    <row r="51" spans="1:11" s="57" customFormat="1" x14ac:dyDescent="0.3">
      <c r="A51" s="221"/>
      <c r="B51" s="222" t="s">
        <v>66</v>
      </c>
      <c r="C51" s="223"/>
      <c r="D51" s="61"/>
      <c r="E51" s="221"/>
      <c r="F51" s="139"/>
      <c r="G51" s="222" t="s">
        <v>66</v>
      </c>
      <c r="H51" s="223"/>
      <c r="I51" s="61" t="s">
        <v>413</v>
      </c>
      <c r="J51" s="61"/>
      <c r="K51" s="61"/>
    </row>
    <row r="52" spans="1:11" s="57" customFormat="1" x14ac:dyDescent="0.3">
      <c r="A52" s="221" t="s">
        <v>391</v>
      </c>
      <c r="B52" s="224">
        <v>18</v>
      </c>
      <c r="C52" s="223"/>
      <c r="E52" s="221" t="s">
        <v>391</v>
      </c>
      <c r="F52" s="139"/>
      <c r="G52" s="224">
        <v>10</v>
      </c>
      <c r="H52" s="223"/>
      <c r="J52" s="201"/>
    </row>
    <row r="53" spans="1:11" s="57" customFormat="1" x14ac:dyDescent="0.3">
      <c r="A53" s="221" t="s">
        <v>392</v>
      </c>
      <c r="B53" s="224">
        <v>56</v>
      </c>
      <c r="C53" s="223"/>
      <c r="E53" s="221" t="s">
        <v>392</v>
      </c>
      <c r="F53" s="139"/>
      <c r="G53" s="224">
        <v>45</v>
      </c>
      <c r="H53" s="223"/>
      <c r="J53" s="201"/>
    </row>
    <row r="54" spans="1:11" s="57" customFormat="1" x14ac:dyDescent="0.3">
      <c r="A54" s="221" t="s">
        <v>393</v>
      </c>
      <c r="B54" s="224">
        <v>63</v>
      </c>
      <c r="C54" s="223"/>
      <c r="E54" s="221" t="s">
        <v>393</v>
      </c>
      <c r="F54" s="139"/>
      <c r="G54" s="224">
        <v>51</v>
      </c>
      <c r="H54" s="223"/>
      <c r="J54" s="201"/>
    </row>
    <row r="55" spans="1:11" s="57" customFormat="1" x14ac:dyDescent="0.3">
      <c r="A55" s="221" t="s">
        <v>394</v>
      </c>
      <c r="B55" s="224">
        <v>31</v>
      </c>
      <c r="C55" s="223"/>
      <c r="E55" s="221" t="s">
        <v>394</v>
      </c>
      <c r="F55" s="139"/>
      <c r="G55" s="224">
        <v>19</v>
      </c>
      <c r="H55" s="223"/>
      <c r="J55" s="201"/>
    </row>
    <row r="56" spans="1:11" s="57" customFormat="1" x14ac:dyDescent="0.3">
      <c r="A56" s="221" t="s">
        <v>395</v>
      </c>
      <c r="B56" s="224">
        <v>18</v>
      </c>
      <c r="C56" s="223"/>
      <c r="E56" s="221" t="s">
        <v>395</v>
      </c>
      <c r="F56" s="139"/>
      <c r="G56" s="224">
        <v>13</v>
      </c>
      <c r="H56" s="223"/>
      <c r="J56" s="201"/>
    </row>
    <row r="57" spans="1:11" s="57" customFormat="1" x14ac:dyDescent="0.3">
      <c r="A57" s="221" t="s">
        <v>396</v>
      </c>
      <c r="B57" s="224">
        <v>75</v>
      </c>
      <c r="C57" s="223"/>
      <c r="E57" s="221" t="s">
        <v>396</v>
      </c>
      <c r="F57" s="139"/>
      <c r="G57" s="224">
        <v>29</v>
      </c>
      <c r="H57" s="223"/>
      <c r="J57" s="201"/>
    </row>
    <row r="58" spans="1:11" s="57" customFormat="1" x14ac:dyDescent="0.3">
      <c r="A58" s="225" t="s">
        <v>397</v>
      </c>
      <c r="B58" s="226">
        <v>15</v>
      </c>
      <c r="C58" s="227"/>
      <c r="E58" s="225" t="s">
        <v>397</v>
      </c>
      <c r="F58" s="151"/>
      <c r="G58" s="226">
        <v>11</v>
      </c>
      <c r="H58" s="227"/>
      <c r="J58" s="201"/>
    </row>
    <row r="59" spans="1:11" s="57" customFormat="1" x14ac:dyDescent="0.3">
      <c r="A59" s="139"/>
      <c r="B59" s="140"/>
      <c r="C59" s="139"/>
      <c r="I59" s="201"/>
    </row>
    <row r="60" spans="1:11" s="57" customFormat="1" x14ac:dyDescent="0.3">
      <c r="I60" s="201"/>
    </row>
    <row r="61" spans="1:11" s="57" customFormat="1" x14ac:dyDescent="0.3">
      <c r="A61" s="228" t="s">
        <v>165</v>
      </c>
      <c r="B61" s="113"/>
      <c r="C61" s="113"/>
      <c r="D61" s="52"/>
      <c r="E61" s="52"/>
      <c r="I61" s="201"/>
    </row>
    <row r="62" spans="1:11" s="57" customFormat="1" x14ac:dyDescent="0.3">
      <c r="A62" s="113" t="s">
        <v>155</v>
      </c>
      <c r="B62" s="229">
        <f>'3. Technology'!B45*1000/10</f>
        <v>144120.29414880474</v>
      </c>
      <c r="C62" s="113"/>
      <c r="D62" s="52"/>
      <c r="E62" s="52"/>
      <c r="I62" s="201"/>
    </row>
    <row r="63" spans="1:11" s="57" customFormat="1" x14ac:dyDescent="0.3">
      <c r="A63" s="113" t="s">
        <v>156</v>
      </c>
      <c r="B63" s="229">
        <f>B62*0.717/1000</f>
        <v>103.33425090469299</v>
      </c>
      <c r="C63" s="113"/>
      <c r="D63" s="52"/>
      <c r="E63" s="52"/>
      <c r="I63" s="201"/>
    </row>
    <row r="64" spans="1:11" s="57" customFormat="1" x14ac:dyDescent="0.3">
      <c r="A64" s="113" t="s">
        <v>157</v>
      </c>
      <c r="B64" s="229">
        <f>'4. Energy'!B5-'5. Nutrients'!B62</f>
        <v>96979.823403502785</v>
      </c>
      <c r="C64" s="113"/>
      <c r="D64" s="52"/>
      <c r="E64" s="52"/>
      <c r="I64" s="201"/>
    </row>
    <row r="65" spans="1:9" s="57" customFormat="1" x14ac:dyDescent="0.3">
      <c r="A65" s="113" t="s">
        <v>158</v>
      </c>
      <c r="B65" s="229">
        <f>B64*1.96/1000</f>
        <v>190.08045387086545</v>
      </c>
      <c r="C65" s="113"/>
      <c r="D65" s="52"/>
      <c r="E65" s="52"/>
      <c r="I65" s="201"/>
    </row>
    <row r="66" spans="1:9" s="57" customFormat="1" x14ac:dyDescent="0.3">
      <c r="A66" s="113" t="s">
        <v>159</v>
      </c>
      <c r="B66" s="229">
        <f>B63+B65</f>
        <v>293.41470477555845</v>
      </c>
      <c r="C66" s="113"/>
      <c r="D66" s="52"/>
      <c r="E66" s="52"/>
      <c r="I66" s="201"/>
    </row>
    <row r="67" spans="1:9" s="57" customFormat="1" x14ac:dyDescent="0.3">
      <c r="A67" s="113" t="s">
        <v>162</v>
      </c>
      <c r="B67" s="230">
        <f>B66/'1. Feedstock'!F48*100</f>
        <v>41.796966492244792</v>
      </c>
      <c r="C67" s="113"/>
      <c r="D67" s="52"/>
      <c r="E67" s="52"/>
      <c r="I67" s="201"/>
    </row>
    <row r="68" spans="1:9" s="57" customFormat="1" x14ac:dyDescent="0.3">
      <c r="A68" s="113" t="s">
        <v>161</v>
      </c>
      <c r="B68" s="230">
        <f>0.6*B67</f>
        <v>25.078179895346874</v>
      </c>
      <c r="C68" s="113" t="s">
        <v>160</v>
      </c>
      <c r="D68" s="52"/>
      <c r="E68" s="52"/>
      <c r="I68" s="201"/>
    </row>
    <row r="69" spans="1:9" s="57" customFormat="1" x14ac:dyDescent="0.3">
      <c r="A69" s="113" t="s">
        <v>164</v>
      </c>
      <c r="B69" s="231">
        <f>'1. Feedstock'!H48-'1. Feedstock'!I48</f>
        <v>20.000000000000004</v>
      </c>
      <c r="C69" s="113"/>
      <c r="D69" s="52"/>
      <c r="E69" s="52"/>
      <c r="I69" s="201"/>
    </row>
    <row r="70" spans="1:9" s="57" customFormat="1" x14ac:dyDescent="0.3">
      <c r="A70" s="113" t="s">
        <v>163</v>
      </c>
      <c r="B70" s="231">
        <f>(100-B68)/100*B69</f>
        <v>14.984364020930627</v>
      </c>
      <c r="C70" s="113"/>
      <c r="D70" s="52"/>
      <c r="E70" s="52"/>
      <c r="I70" s="201"/>
    </row>
    <row r="71" spans="1:9" s="57" customFormat="1" x14ac:dyDescent="0.3">
      <c r="A71" s="232" t="s">
        <v>166</v>
      </c>
      <c r="B71" s="233">
        <f>B69-B70</f>
        <v>5.0156359790693763</v>
      </c>
      <c r="C71" s="52"/>
      <c r="D71" s="52"/>
      <c r="E71" s="52"/>
      <c r="I71" s="201"/>
    </row>
    <row r="72" spans="1:9" s="57" customFormat="1" x14ac:dyDescent="0.3">
      <c r="I72" s="201"/>
    </row>
    <row r="73" spans="1:9" s="57" customFormat="1" x14ac:dyDescent="0.3">
      <c r="I73" s="201"/>
    </row>
    <row r="74" spans="1:9" s="57" customFormat="1" x14ac:dyDescent="0.3">
      <c r="I74" s="201"/>
    </row>
    <row r="75" spans="1:9" s="57" customFormat="1" x14ac:dyDescent="0.3">
      <c r="I75" s="201"/>
    </row>
    <row r="76" spans="1:9" s="57" customFormat="1" x14ac:dyDescent="0.3">
      <c r="I76" s="201"/>
    </row>
    <row r="77" spans="1:9" s="57" customFormat="1" x14ac:dyDescent="0.3">
      <c r="I77" s="201"/>
    </row>
    <row r="78" spans="1:9" s="57" customFormat="1" x14ac:dyDescent="0.3">
      <c r="I78" s="201"/>
    </row>
    <row r="79" spans="1:9" s="57" customFormat="1" x14ac:dyDescent="0.3">
      <c r="I79" s="201"/>
    </row>
    <row r="80" spans="1:9" s="57" customFormat="1" ht="23.4" x14ac:dyDescent="0.45">
      <c r="A80" s="234"/>
      <c r="B80" s="58"/>
      <c r="I80" s="201"/>
    </row>
    <row r="81" spans="1:9" s="57" customFormat="1" x14ac:dyDescent="0.3">
      <c r="A81" s="58"/>
      <c r="B81" s="58"/>
      <c r="I81" s="201"/>
    </row>
    <row r="82" spans="1:9" s="57" customFormat="1" x14ac:dyDescent="0.3">
      <c r="A82" s="58"/>
      <c r="B82" s="58"/>
      <c r="I82" s="201"/>
    </row>
    <row r="83" spans="1:9" s="57" customFormat="1" x14ac:dyDescent="0.3">
      <c r="A83" s="58"/>
      <c r="B83" s="58"/>
      <c r="I83" s="201"/>
    </row>
    <row r="84" spans="1:9" s="57" customFormat="1" x14ac:dyDescent="0.3">
      <c r="A84" s="58"/>
      <c r="B84" s="58"/>
      <c r="I84" s="201"/>
    </row>
    <row r="85" spans="1:9" s="57" customFormat="1" x14ac:dyDescent="0.3">
      <c r="A85" s="58"/>
      <c r="B85" s="58"/>
      <c r="I85" s="201"/>
    </row>
    <row r="86" spans="1:9" s="57" customFormat="1" x14ac:dyDescent="0.3">
      <c r="A86" s="58"/>
      <c r="B86" s="58"/>
      <c r="I86" s="201"/>
    </row>
    <row r="87" spans="1:9" s="57" customFormat="1" x14ac:dyDescent="0.3">
      <c r="A87" s="58"/>
      <c r="B87" s="58"/>
      <c r="I87" s="201"/>
    </row>
    <row r="88" spans="1:9" s="57" customFormat="1" x14ac:dyDescent="0.3">
      <c r="A88" s="58"/>
      <c r="B88" s="58"/>
      <c r="I88" s="201"/>
    </row>
    <row r="89" spans="1:9" s="57" customFormat="1" x14ac:dyDescent="0.3">
      <c r="A89" s="58"/>
      <c r="B89" s="58"/>
      <c r="I89" s="201"/>
    </row>
    <row r="90" spans="1:9" s="57" customFormat="1" x14ac:dyDescent="0.3">
      <c r="A90" s="58"/>
      <c r="B90" s="58"/>
      <c r="I90" s="201"/>
    </row>
    <row r="91" spans="1:9" s="57" customFormat="1" x14ac:dyDescent="0.3">
      <c r="A91" s="58"/>
      <c r="B91" s="58"/>
      <c r="I91" s="201"/>
    </row>
  </sheetData>
  <sheetProtection algorithmName="SHA-512" hashValue="1zShi9iKOafJ8fQ/zhEvGXJWs4TeBLc61uu7tUFNTGiZCJIoTCw9N88cYyBrAG7bgsW8NAktk2Bc9urmHOcSFg==" saltValue="mDb16bpR1CiIcz4AIQx32Q==" spinCount="100000" sheet="1" objects="1" scenarios="1"/>
  <protectedRanges>
    <protectedRange sqref="B52:B58" name="Alue1"/>
    <protectedRange sqref="G52:G58" name="Alue2"/>
  </protectedRange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20A73-8DFA-40AF-AF48-21CAA839E381}">
  <sheetPr codeName="Taul1"/>
  <dimension ref="A1:N72"/>
  <sheetViews>
    <sheetView workbookViewId="0">
      <selection activeCell="H14" sqref="H14"/>
    </sheetView>
  </sheetViews>
  <sheetFormatPr defaultRowHeight="14.4" x14ac:dyDescent="0.3"/>
  <cols>
    <col min="1" max="1" width="61.109375" style="116" customWidth="1"/>
    <col min="2" max="2" width="12.21875" style="116" customWidth="1"/>
    <col min="3" max="3" width="3.6640625" style="116" customWidth="1"/>
    <col min="4" max="4" width="12.21875" style="255" customWidth="1"/>
    <col min="5" max="5" width="3.21875" style="116" customWidth="1"/>
    <col min="6" max="6" width="17.33203125" style="256" customWidth="1"/>
    <col min="7" max="9" width="17.33203125" style="376" customWidth="1"/>
    <col min="10" max="10" width="27.77734375" style="376" customWidth="1"/>
    <col min="11" max="11" width="27.77734375" style="384" customWidth="1"/>
    <col min="12" max="12" width="47" style="116" customWidth="1"/>
    <col min="13" max="13" width="8.88671875" style="116"/>
    <col min="14" max="14" width="18.44140625" style="116" customWidth="1"/>
    <col min="15" max="15" width="15" style="116" customWidth="1"/>
    <col min="16" max="16384" width="8.88671875" style="116"/>
  </cols>
  <sheetData>
    <row r="1" spans="1:14" s="81" customFormat="1" ht="24" thickBot="1" x14ac:dyDescent="0.5">
      <c r="A1" s="13" t="s">
        <v>418</v>
      </c>
      <c r="B1" s="13"/>
      <c r="C1" s="13"/>
      <c r="D1" s="13"/>
      <c r="E1" s="13"/>
      <c r="F1" s="13"/>
      <c r="G1" s="376"/>
      <c r="H1" s="376"/>
      <c r="I1" s="376"/>
      <c r="J1" s="376"/>
      <c r="K1" s="377"/>
    </row>
    <row r="2" spans="1:14" s="81" customFormat="1" ht="15" thickTop="1" x14ac:dyDescent="0.3">
      <c r="D2" s="237"/>
      <c r="F2" s="236"/>
      <c r="G2" s="376"/>
      <c r="H2" s="376"/>
      <c r="I2" s="376"/>
      <c r="J2" s="376"/>
      <c r="K2" s="377"/>
    </row>
    <row r="3" spans="1:14" s="81" customFormat="1" x14ac:dyDescent="0.3">
      <c r="A3" s="81" t="s">
        <v>577</v>
      </c>
      <c r="D3" s="237"/>
      <c r="F3" s="236"/>
      <c r="G3" s="376"/>
      <c r="H3" s="376"/>
      <c r="I3" s="376"/>
      <c r="J3" s="376"/>
      <c r="K3" s="377"/>
    </row>
    <row r="4" spans="1:14" s="81" customFormat="1" x14ac:dyDescent="0.3">
      <c r="A4" s="81" t="s">
        <v>576</v>
      </c>
      <c r="D4" s="237"/>
      <c r="F4" s="236"/>
      <c r="G4" s="376"/>
      <c r="H4" s="376"/>
      <c r="I4" s="376"/>
      <c r="J4" s="376"/>
      <c r="K4" s="377"/>
    </row>
    <row r="5" spans="1:14" s="81" customFormat="1" x14ac:dyDescent="0.3">
      <c r="A5" s="81" t="s">
        <v>419</v>
      </c>
      <c r="D5" s="237"/>
      <c r="F5" s="236"/>
      <c r="G5" s="376"/>
      <c r="H5" s="376"/>
      <c r="I5" s="376"/>
      <c r="J5" s="376"/>
      <c r="K5" s="377"/>
    </row>
    <row r="6" spans="1:14" s="81" customFormat="1" x14ac:dyDescent="0.3">
      <c r="D6" s="237"/>
      <c r="F6" s="236"/>
      <c r="G6" s="376"/>
      <c r="H6" s="376"/>
      <c r="I6" s="376"/>
      <c r="J6" s="376"/>
      <c r="K6" s="377"/>
    </row>
    <row r="7" spans="1:14" s="81" customFormat="1" x14ac:dyDescent="0.3">
      <c r="A7" s="110" t="s">
        <v>457</v>
      </c>
      <c r="D7" s="237"/>
      <c r="F7" s="236"/>
      <c r="G7" s="376"/>
      <c r="H7" s="376"/>
      <c r="I7" s="376"/>
      <c r="J7" s="376"/>
      <c r="K7" s="377"/>
    </row>
    <row r="8" spans="1:14" s="81" customFormat="1" x14ac:dyDescent="0.3">
      <c r="D8" s="237"/>
      <c r="F8" s="236"/>
      <c r="G8" s="376"/>
      <c r="H8" s="376"/>
      <c r="I8" s="376"/>
      <c r="J8" s="376"/>
      <c r="K8" s="377"/>
    </row>
    <row r="9" spans="1:14" s="81" customFormat="1" x14ac:dyDescent="0.3">
      <c r="A9" s="90" t="s">
        <v>420</v>
      </c>
      <c r="B9" s="238">
        <f>'8. Profitability'!B9</f>
        <v>0.05</v>
      </c>
      <c r="C9" s="84"/>
      <c r="D9" s="239" t="s">
        <v>421</v>
      </c>
      <c r="F9" s="236"/>
      <c r="G9" s="376"/>
      <c r="H9" s="376"/>
      <c r="I9" s="376"/>
      <c r="J9" s="376"/>
      <c r="K9" s="377"/>
    </row>
    <row r="10" spans="1:14" s="81" customFormat="1" x14ac:dyDescent="0.3">
      <c r="A10" s="133"/>
      <c r="B10" s="164"/>
      <c r="C10" s="164"/>
      <c r="D10" s="164"/>
      <c r="E10" s="164"/>
      <c r="F10" s="164"/>
      <c r="G10" s="378"/>
      <c r="H10" s="376"/>
      <c r="I10" s="376"/>
      <c r="J10" s="376"/>
      <c r="K10" s="377"/>
    </row>
    <row r="11" spans="1:14" s="133" customFormat="1" ht="13.8" x14ac:dyDescent="0.3">
      <c r="A11" s="132" t="s">
        <v>55</v>
      </c>
      <c r="B11" s="170" t="s">
        <v>455</v>
      </c>
      <c r="C11" s="170"/>
      <c r="D11" s="170" t="s">
        <v>454</v>
      </c>
      <c r="E11" s="170"/>
      <c r="F11" s="170" t="s">
        <v>456</v>
      </c>
      <c r="G11" s="378" t="s">
        <v>97</v>
      </c>
      <c r="H11" s="379" t="s">
        <v>123</v>
      </c>
      <c r="I11" s="379" t="s">
        <v>124</v>
      </c>
      <c r="J11" s="379"/>
      <c r="K11" s="380"/>
      <c r="L11" s="133" t="s">
        <v>118</v>
      </c>
    </row>
    <row r="12" spans="1:14" s="91" customFormat="1" x14ac:dyDescent="0.3">
      <c r="A12" s="91" t="str">
        <f>'3. Technology'!A8</f>
        <v>Slurry feed tank 1</v>
      </c>
      <c r="B12" s="87">
        <v>20</v>
      </c>
      <c r="C12" s="240"/>
      <c r="D12" s="241">
        <f>F12</f>
        <v>35200</v>
      </c>
      <c r="F12" s="242">
        <f>ROUND(IF('3. Technology'!D8&gt;0,(26.491*'3. Technology'!D8+28273)*1.08,0),-2)</f>
        <v>35200</v>
      </c>
      <c r="G12" s="376">
        <f>D12*($B$9*(1+$B$9)^B12)/((1+$B$9)^B12-1)</f>
        <v>2824.5390691123343</v>
      </c>
      <c r="H12" s="376">
        <f>I12*D12</f>
        <v>352</v>
      </c>
      <c r="I12" s="243">
        <v>0.01</v>
      </c>
      <c r="J12" s="243"/>
      <c r="K12" s="243"/>
      <c r="L12" s="113" t="s">
        <v>67</v>
      </c>
      <c r="M12" s="113"/>
      <c r="N12" s="113"/>
    </row>
    <row r="13" spans="1:14" s="91" customFormat="1" x14ac:dyDescent="0.3">
      <c r="A13" s="91" t="str">
        <f>'3. Technology'!A9</f>
        <v>Slurry feed tank 2</v>
      </c>
      <c r="B13" s="87">
        <v>20</v>
      </c>
      <c r="C13" s="240"/>
      <c r="D13" s="241">
        <f t="shared" ref="D13:D53" si="0">F13</f>
        <v>0</v>
      </c>
      <c r="F13" s="242">
        <f>ROUND(IF('3. Technology'!D9&gt;0,(26.491*'3. Technology'!D9+28273)*1.08,0),-2)</f>
        <v>0</v>
      </c>
      <c r="G13" s="376">
        <f>D13*($B$9*(1+$B$9)^B13)/((1+$B$9)^B13-1)</f>
        <v>0</v>
      </c>
      <c r="H13" s="376">
        <f t="shared" ref="H13:H53" si="1">I13*D13</f>
        <v>0</v>
      </c>
      <c r="I13" s="243">
        <v>0.01</v>
      </c>
      <c r="J13" s="243"/>
      <c r="K13" s="243"/>
      <c r="L13" s="113" t="s">
        <v>67</v>
      </c>
      <c r="M13" s="113"/>
      <c r="N13" s="113"/>
    </row>
    <row r="14" spans="1:14" s="91" customFormat="1" x14ac:dyDescent="0.3">
      <c r="A14" s="91" t="str">
        <f>'3. Technology'!A10</f>
        <v>Slurry feed tank 3</v>
      </c>
      <c r="B14" s="87">
        <v>20</v>
      </c>
      <c r="C14" s="240"/>
      <c r="D14" s="241">
        <f t="shared" si="0"/>
        <v>0</v>
      </c>
      <c r="E14" s="245"/>
      <c r="F14" s="246">
        <f>ROUND(IF('3. Technology'!D10&gt;0,(26.491*'3. Technology'!D10+28273)*1.08,0),-2)</f>
        <v>0</v>
      </c>
      <c r="G14" s="376">
        <f>D14*($B$9*(1+$B$9)^B14)/((1+$B$9)^B14-1)</f>
        <v>0</v>
      </c>
      <c r="H14" s="376">
        <f t="shared" si="1"/>
        <v>0</v>
      </c>
      <c r="I14" s="243">
        <v>0.01</v>
      </c>
      <c r="J14" s="243"/>
      <c r="K14" s="243"/>
      <c r="L14" s="113" t="s">
        <v>67</v>
      </c>
      <c r="M14" s="113"/>
      <c r="N14" s="113"/>
    </row>
    <row r="15" spans="1:14" s="91" customFormat="1" x14ac:dyDescent="0.3">
      <c r="A15" s="337" t="s">
        <v>422</v>
      </c>
      <c r="B15" s="87">
        <v>10</v>
      </c>
      <c r="C15" s="240"/>
      <c r="D15" s="241">
        <f t="shared" si="0"/>
        <v>0</v>
      </c>
      <c r="F15" s="242">
        <f>ROUND(IF('3. Technology'!E8="Kyllä",6480,0),-2)</f>
        <v>0</v>
      </c>
      <c r="G15" s="376">
        <f>D15*($B$9*(1+$B$9)^B15)/((1+$B$9)^B15-1)</f>
        <v>0</v>
      </c>
      <c r="H15" s="376">
        <f t="shared" si="1"/>
        <v>0</v>
      </c>
      <c r="I15" s="243">
        <v>0.02</v>
      </c>
      <c r="J15" s="243"/>
      <c r="K15" s="243"/>
      <c r="L15" s="113" t="s">
        <v>68</v>
      </c>
      <c r="M15" s="113"/>
      <c r="N15" s="113"/>
    </row>
    <row r="16" spans="1:14" s="91" customFormat="1" x14ac:dyDescent="0.3">
      <c r="A16" s="338" t="s">
        <v>423</v>
      </c>
      <c r="B16" s="87">
        <v>10</v>
      </c>
      <c r="C16" s="240"/>
      <c r="D16" s="241">
        <f t="shared" si="0"/>
        <v>0</v>
      </c>
      <c r="F16" s="242">
        <f>ROUND(IF('3. Technology'!E9="Kyllä",6480,0),-2)</f>
        <v>0</v>
      </c>
      <c r="G16" s="376">
        <f t="shared" ref="G16:G53" si="2">D16*($B$9*(1+$B$9)^B16)/((1+$B$9)^B16-1)</f>
        <v>0</v>
      </c>
      <c r="H16" s="376">
        <f t="shared" si="1"/>
        <v>0</v>
      </c>
      <c r="I16" s="243">
        <v>0.02</v>
      </c>
      <c r="J16" s="243"/>
      <c r="K16" s="243"/>
      <c r="L16" s="113" t="s">
        <v>68</v>
      </c>
      <c r="M16" s="113"/>
      <c r="N16" s="113"/>
    </row>
    <row r="17" spans="1:14" s="91" customFormat="1" x14ac:dyDescent="0.3">
      <c r="A17" s="339" t="s">
        <v>424</v>
      </c>
      <c r="B17" s="87">
        <v>10</v>
      </c>
      <c r="C17" s="240"/>
      <c r="D17" s="241">
        <f t="shared" si="0"/>
        <v>0</v>
      </c>
      <c r="E17" s="244"/>
      <c r="F17" s="246">
        <f>ROUND(IF('3. Technology'!E10="Kyllä",6480,0),-2)</f>
        <v>0</v>
      </c>
      <c r="G17" s="376">
        <f t="shared" si="2"/>
        <v>0</v>
      </c>
      <c r="H17" s="376">
        <f t="shared" si="1"/>
        <v>0</v>
      </c>
      <c r="I17" s="243">
        <v>0.02</v>
      </c>
      <c r="J17" s="243"/>
      <c r="K17" s="243"/>
      <c r="L17" s="113" t="s">
        <v>68</v>
      </c>
      <c r="M17" s="113"/>
      <c r="N17" s="113"/>
    </row>
    <row r="18" spans="1:14" s="91" customFormat="1" x14ac:dyDescent="0.3">
      <c r="A18" s="337" t="s">
        <v>425</v>
      </c>
      <c r="B18" s="87">
        <v>10</v>
      </c>
      <c r="C18" s="240"/>
      <c r="D18" s="241">
        <f t="shared" si="0"/>
        <v>0</v>
      </c>
      <c r="F18" s="242">
        <f>ROUND(IF('3. Technology'!F8="Kyllä",11340,0),-2)</f>
        <v>0</v>
      </c>
      <c r="G18" s="376">
        <f t="shared" si="2"/>
        <v>0</v>
      </c>
      <c r="H18" s="376">
        <f t="shared" si="1"/>
        <v>0</v>
      </c>
      <c r="I18" s="243">
        <v>0.05</v>
      </c>
      <c r="J18" s="243"/>
      <c r="K18" s="243"/>
      <c r="L18" s="113" t="s">
        <v>69</v>
      </c>
      <c r="M18" s="113"/>
      <c r="N18" s="113"/>
    </row>
    <row r="19" spans="1:14" s="91" customFormat="1" x14ac:dyDescent="0.3">
      <c r="A19" s="338" t="s">
        <v>426</v>
      </c>
      <c r="B19" s="87">
        <v>10</v>
      </c>
      <c r="C19" s="240"/>
      <c r="D19" s="241">
        <f t="shared" si="0"/>
        <v>0</v>
      </c>
      <c r="F19" s="242">
        <f>IF('3. Technology'!F9="Kyllä",11340,0)</f>
        <v>0</v>
      </c>
      <c r="G19" s="376">
        <f t="shared" si="2"/>
        <v>0</v>
      </c>
      <c r="H19" s="376">
        <f t="shared" si="1"/>
        <v>0</v>
      </c>
      <c r="I19" s="243">
        <v>0.05</v>
      </c>
      <c r="J19" s="243"/>
      <c r="K19" s="243"/>
      <c r="L19" s="113" t="s">
        <v>69</v>
      </c>
      <c r="M19" s="113"/>
      <c r="N19" s="113"/>
    </row>
    <row r="20" spans="1:14" s="91" customFormat="1" x14ac:dyDescent="0.3">
      <c r="A20" s="339" t="s">
        <v>427</v>
      </c>
      <c r="B20" s="87">
        <v>10</v>
      </c>
      <c r="C20" s="240"/>
      <c r="D20" s="241">
        <f t="shared" si="0"/>
        <v>0</v>
      </c>
      <c r="E20" s="245"/>
      <c r="F20" s="246">
        <f>IF('3. Technology'!F10="Kyllä",11340,0)</f>
        <v>0</v>
      </c>
      <c r="G20" s="376">
        <f t="shared" si="2"/>
        <v>0</v>
      </c>
      <c r="H20" s="376">
        <f t="shared" si="1"/>
        <v>0</v>
      </c>
      <c r="I20" s="243">
        <v>0.05</v>
      </c>
      <c r="J20" s="243"/>
      <c r="K20" s="243"/>
      <c r="L20" s="113" t="s">
        <v>69</v>
      </c>
      <c r="M20" s="113"/>
      <c r="N20" s="113"/>
    </row>
    <row r="21" spans="1:14" s="91" customFormat="1" x14ac:dyDescent="0.3">
      <c r="A21" s="91" t="str">
        <f>'3. Technology'!A17</f>
        <v>UNCOVERED storage for solid feed 1</v>
      </c>
      <c r="B21" s="87">
        <v>20</v>
      </c>
      <c r="C21" s="240"/>
      <c r="D21" s="241">
        <f t="shared" si="0"/>
        <v>13900</v>
      </c>
      <c r="F21" s="242">
        <f>ROUND(IF('3. Technology'!D17&gt;0,(43.863*'3. Technology'!D17+10435)*1.08,0),-2)</f>
        <v>13900</v>
      </c>
      <c r="G21" s="376">
        <f t="shared" si="2"/>
        <v>1115.3719619506094</v>
      </c>
      <c r="H21" s="376">
        <f t="shared" si="1"/>
        <v>139</v>
      </c>
      <c r="I21" s="243">
        <v>0.01</v>
      </c>
      <c r="J21" s="243"/>
      <c r="K21" s="243"/>
      <c r="L21" s="113" t="s">
        <v>70</v>
      </c>
      <c r="M21" s="113"/>
      <c r="N21" s="113"/>
    </row>
    <row r="22" spans="1:14" s="91" customFormat="1" x14ac:dyDescent="0.3">
      <c r="A22" s="91" t="str">
        <f>'3. Technology'!A18</f>
        <v>UNCOVERED storage for solid feed 2</v>
      </c>
      <c r="B22" s="87">
        <v>20</v>
      </c>
      <c r="C22" s="240"/>
      <c r="D22" s="241">
        <f t="shared" si="0"/>
        <v>0</v>
      </c>
      <c r="F22" s="242">
        <f>ROUND(IF('3. Technology'!D18&gt;0,(43.863*'3. Technology'!D18+10435)*1.08,0),-2)</f>
        <v>0</v>
      </c>
      <c r="G22" s="376">
        <f t="shared" si="2"/>
        <v>0</v>
      </c>
      <c r="H22" s="376">
        <f t="shared" si="1"/>
        <v>0</v>
      </c>
      <c r="I22" s="243">
        <v>0.01</v>
      </c>
      <c r="J22" s="243"/>
      <c r="K22" s="243"/>
      <c r="L22" s="113" t="s">
        <v>70</v>
      </c>
      <c r="M22" s="113"/>
      <c r="N22" s="113"/>
    </row>
    <row r="23" spans="1:14" s="91" customFormat="1" x14ac:dyDescent="0.3">
      <c r="A23" s="91" t="str">
        <f>'3. Technology'!A19</f>
        <v>UNCOVERED storage for solid feed 3</v>
      </c>
      <c r="B23" s="87">
        <v>20</v>
      </c>
      <c r="C23" s="240"/>
      <c r="D23" s="241">
        <f t="shared" si="0"/>
        <v>0</v>
      </c>
      <c r="E23" s="245"/>
      <c r="F23" s="246">
        <f>ROUND(IF('3. Technology'!D19&gt;0,(43.863*'3. Technology'!D19+10435)*1.08,0),-2)</f>
        <v>0</v>
      </c>
      <c r="G23" s="376">
        <f t="shared" si="2"/>
        <v>0</v>
      </c>
      <c r="H23" s="376">
        <f t="shared" si="1"/>
        <v>0</v>
      </c>
      <c r="I23" s="243">
        <v>0.01</v>
      </c>
      <c r="J23" s="243"/>
      <c r="K23" s="243"/>
      <c r="L23" s="113" t="s">
        <v>70</v>
      </c>
      <c r="M23" s="113"/>
      <c r="N23" s="113"/>
    </row>
    <row r="24" spans="1:14" s="91" customFormat="1" x14ac:dyDescent="0.3">
      <c r="A24" s="337" t="str">
        <f>'3. Technology'!A21</f>
        <v>COVERED storage for solid feed 1</v>
      </c>
      <c r="B24" s="87">
        <v>20</v>
      </c>
      <c r="C24" s="240"/>
      <c r="D24" s="241">
        <f t="shared" si="0"/>
        <v>0</v>
      </c>
      <c r="F24" s="242">
        <f>ROUND(IF('3. Technology'!D21&gt;0,(87.727*'3. Technology'!D21+20870)*1.08,0),-2)</f>
        <v>0</v>
      </c>
      <c r="G24" s="376">
        <f t="shared" si="2"/>
        <v>0</v>
      </c>
      <c r="H24" s="376">
        <f t="shared" si="1"/>
        <v>0</v>
      </c>
      <c r="I24" s="243">
        <v>0.01</v>
      </c>
      <c r="J24" s="243"/>
      <c r="K24" s="243"/>
      <c r="L24" s="113" t="s">
        <v>71</v>
      </c>
      <c r="M24" s="113"/>
      <c r="N24" s="113"/>
    </row>
    <row r="25" spans="1:14" s="91" customFormat="1" x14ac:dyDescent="0.3">
      <c r="A25" s="338" t="str">
        <f>'3. Technology'!A22</f>
        <v>COVERED storage for solid feed 2</v>
      </c>
      <c r="B25" s="87">
        <v>20</v>
      </c>
      <c r="C25" s="240"/>
      <c r="D25" s="241">
        <f t="shared" si="0"/>
        <v>0</v>
      </c>
      <c r="F25" s="242">
        <f>ROUND(IF('3. Technology'!D22&gt;0,(87.727*'3. Technology'!D22+20870)*1.08,0),-2)</f>
        <v>0</v>
      </c>
      <c r="G25" s="376">
        <f t="shared" si="2"/>
        <v>0</v>
      </c>
      <c r="H25" s="376">
        <f t="shared" si="1"/>
        <v>0</v>
      </c>
      <c r="I25" s="243">
        <v>0.01</v>
      </c>
      <c r="J25" s="243"/>
      <c r="K25" s="243"/>
      <c r="L25" s="113" t="s">
        <v>71</v>
      </c>
      <c r="M25" s="113"/>
      <c r="N25" s="113"/>
    </row>
    <row r="26" spans="1:14" s="91" customFormat="1" x14ac:dyDescent="0.3">
      <c r="A26" s="339" t="str">
        <f>'3. Technology'!A23</f>
        <v>COVERED storage for solid feed 3</v>
      </c>
      <c r="B26" s="87">
        <v>20</v>
      </c>
      <c r="C26" s="240"/>
      <c r="D26" s="241">
        <f t="shared" si="0"/>
        <v>0</v>
      </c>
      <c r="E26" s="245"/>
      <c r="F26" s="246">
        <f>ROUND(IF('3. Technology'!D23&gt;0,(87.727*'3. Technology'!D23+20870)*1.08,0),-2)</f>
        <v>0</v>
      </c>
      <c r="G26" s="376">
        <f t="shared" si="2"/>
        <v>0</v>
      </c>
      <c r="H26" s="376">
        <f t="shared" si="1"/>
        <v>0</v>
      </c>
      <c r="I26" s="243">
        <v>0.01</v>
      </c>
      <c r="J26" s="243"/>
      <c r="K26" s="243"/>
      <c r="L26" s="113" t="s">
        <v>71</v>
      </c>
      <c r="M26" s="113"/>
      <c r="N26" s="113"/>
    </row>
    <row r="27" spans="1:14" s="91" customFormat="1" x14ac:dyDescent="0.3">
      <c r="A27" s="91" t="s">
        <v>428</v>
      </c>
      <c r="B27" s="87">
        <v>15</v>
      </c>
      <c r="C27" s="240"/>
      <c r="D27" s="241">
        <f t="shared" si="0"/>
        <v>66600</v>
      </c>
      <c r="F27" s="242">
        <v>66600</v>
      </c>
      <c r="G27" s="376">
        <f t="shared" si="2"/>
        <v>6416.3963547756739</v>
      </c>
      <c r="H27" s="376">
        <f t="shared" si="1"/>
        <v>3330</v>
      </c>
      <c r="I27" s="243">
        <v>0.05</v>
      </c>
      <c r="J27" s="243"/>
      <c r="K27" s="243"/>
      <c r="L27" s="113" t="s">
        <v>72</v>
      </c>
      <c r="M27" s="113">
        <f>61700*1.08</f>
        <v>66636</v>
      </c>
      <c r="N27" s="113"/>
    </row>
    <row r="28" spans="1:14" s="91" customFormat="1" x14ac:dyDescent="0.3">
      <c r="A28" s="91" t="s">
        <v>429</v>
      </c>
      <c r="B28" s="87">
        <v>20</v>
      </c>
      <c r="C28" s="240"/>
      <c r="D28" s="241">
        <f t="shared" si="0"/>
        <v>148300</v>
      </c>
      <c r="F28" s="242">
        <f>ROUND((84.55125*'3. Technology'!B33+80599.05)*1.08,-2)</f>
        <v>148300</v>
      </c>
      <c r="G28" s="376">
        <f t="shared" si="2"/>
        <v>11899.975680379523</v>
      </c>
      <c r="H28" s="376">
        <f t="shared" si="1"/>
        <v>1483</v>
      </c>
      <c r="I28" s="243">
        <v>0.01</v>
      </c>
      <c r="J28" s="243"/>
      <c r="K28" s="243"/>
      <c r="L28" s="113" t="s">
        <v>74</v>
      </c>
      <c r="M28" s="113"/>
      <c r="N28" s="113"/>
    </row>
    <row r="29" spans="1:14" s="91" customFormat="1" x14ac:dyDescent="0.3">
      <c r="A29" s="91" t="s">
        <v>430</v>
      </c>
      <c r="B29" s="87">
        <v>10</v>
      </c>
      <c r="C29" s="240"/>
      <c r="D29" s="241">
        <f t="shared" si="0"/>
        <v>17300</v>
      </c>
      <c r="F29" s="242">
        <f>ROUND((13.2132*'3. Technology'!B33+7150.185)*1.08,-2)</f>
        <v>17300</v>
      </c>
      <c r="G29" s="376">
        <f t="shared" si="2"/>
        <v>2240.429146902401</v>
      </c>
      <c r="H29" s="376">
        <f t="shared" si="1"/>
        <v>865</v>
      </c>
      <c r="I29" s="243">
        <v>0.05</v>
      </c>
      <c r="J29" s="243"/>
      <c r="K29" s="243"/>
      <c r="L29" s="113" t="s">
        <v>75</v>
      </c>
      <c r="M29" s="113"/>
      <c r="N29" s="113"/>
    </row>
    <row r="30" spans="1:14" s="91" customFormat="1" x14ac:dyDescent="0.3">
      <c r="A30" s="91" t="s">
        <v>431</v>
      </c>
      <c r="B30" s="87">
        <v>20</v>
      </c>
      <c r="C30" s="240"/>
      <c r="D30" s="241">
        <f t="shared" si="0"/>
        <v>0</v>
      </c>
      <c r="F30" s="242">
        <v>0</v>
      </c>
      <c r="G30" s="376">
        <f t="shared" si="2"/>
        <v>0</v>
      </c>
      <c r="H30" s="376">
        <f t="shared" si="1"/>
        <v>0</v>
      </c>
      <c r="I30" s="243">
        <v>0.01</v>
      </c>
      <c r="J30" s="243"/>
      <c r="K30" s="243"/>
      <c r="L30" s="113" t="s">
        <v>111</v>
      </c>
      <c r="M30" s="113"/>
      <c r="N30" s="113"/>
    </row>
    <row r="31" spans="1:14" s="91" customFormat="1" x14ac:dyDescent="0.3">
      <c r="A31" s="91" t="s">
        <v>432</v>
      </c>
      <c r="B31" s="87">
        <v>10</v>
      </c>
      <c r="C31" s="240"/>
      <c r="D31" s="241">
        <f t="shared" si="0"/>
        <v>0</v>
      </c>
      <c r="F31" s="242">
        <v>0</v>
      </c>
      <c r="G31" s="376">
        <f t="shared" si="2"/>
        <v>0</v>
      </c>
      <c r="H31" s="376">
        <f t="shared" si="1"/>
        <v>0</v>
      </c>
      <c r="I31" s="243">
        <v>0.05</v>
      </c>
      <c r="J31" s="243"/>
      <c r="K31" s="243"/>
      <c r="L31" s="113" t="s">
        <v>112</v>
      </c>
      <c r="M31" s="113"/>
      <c r="N31" s="113"/>
    </row>
    <row r="32" spans="1:14" s="91" customFormat="1" x14ac:dyDescent="0.3">
      <c r="A32" s="91" t="s">
        <v>433</v>
      </c>
      <c r="B32" s="87">
        <v>10</v>
      </c>
      <c r="C32" s="240"/>
      <c r="D32" s="241">
        <f t="shared" si="0"/>
        <v>61100</v>
      </c>
      <c r="F32" s="242">
        <f>ROUND(56600*1.08,-2)</f>
        <v>61100</v>
      </c>
      <c r="G32" s="376">
        <f t="shared" si="2"/>
        <v>7912.7295303894043</v>
      </c>
      <c r="H32" s="376">
        <f t="shared" si="1"/>
        <v>3055</v>
      </c>
      <c r="I32" s="243">
        <v>0.05</v>
      </c>
      <c r="J32" s="243"/>
      <c r="K32" s="243"/>
      <c r="L32" s="113" t="s">
        <v>113</v>
      </c>
      <c r="M32" s="113"/>
      <c r="N32" s="113"/>
    </row>
    <row r="33" spans="1:14" s="91" customFormat="1" x14ac:dyDescent="0.3">
      <c r="A33" s="91" t="s">
        <v>434</v>
      </c>
      <c r="B33" s="87">
        <v>20</v>
      </c>
      <c r="C33" s="240"/>
      <c r="D33" s="241">
        <f t="shared" si="0"/>
        <v>43500</v>
      </c>
      <c r="F33" s="242">
        <f>ROUND((3.34257*'3. Technology'!B33+38007.9)*1.08,-2)</f>
        <v>43500</v>
      </c>
      <c r="G33" s="376">
        <f t="shared" si="2"/>
        <v>3490.5525427950724</v>
      </c>
      <c r="H33" s="376">
        <f t="shared" si="1"/>
        <v>435</v>
      </c>
      <c r="I33" s="243">
        <v>0.01</v>
      </c>
      <c r="J33" s="243"/>
      <c r="K33" s="243"/>
      <c r="L33" s="113" t="s">
        <v>114</v>
      </c>
      <c r="M33" s="113"/>
      <c r="N33" s="113"/>
    </row>
    <row r="34" spans="1:14" s="91" customFormat="1" x14ac:dyDescent="0.3">
      <c r="A34" s="91" t="s">
        <v>435</v>
      </c>
      <c r="B34" s="87">
        <v>15</v>
      </c>
      <c r="C34" s="240"/>
      <c r="D34" s="241">
        <f t="shared" si="0"/>
        <v>9900</v>
      </c>
      <c r="F34" s="242">
        <f>ROUND((105*'4. Energy'!F12+6562.5)*1.08,-2)</f>
        <v>9900</v>
      </c>
      <c r="G34" s="376">
        <f t="shared" si="2"/>
        <v>953.78864733151909</v>
      </c>
      <c r="H34" s="376">
        <f t="shared" si="1"/>
        <v>198</v>
      </c>
      <c r="I34" s="243">
        <v>0.02</v>
      </c>
      <c r="J34" s="243"/>
      <c r="K34" s="243"/>
      <c r="L34" s="113" t="s">
        <v>115</v>
      </c>
      <c r="M34" s="113"/>
      <c r="N34" s="113"/>
    </row>
    <row r="35" spans="1:14" s="91" customFormat="1" x14ac:dyDescent="0.3">
      <c r="A35" s="91" t="s">
        <v>436</v>
      </c>
      <c r="B35" s="87">
        <v>20</v>
      </c>
      <c r="C35" s="240"/>
      <c r="D35" s="241">
        <f t="shared" si="0"/>
        <v>49700</v>
      </c>
      <c r="F35" s="242">
        <f>ROUND(46000*1.08,-2)</f>
        <v>49700</v>
      </c>
      <c r="G35" s="376">
        <f t="shared" si="2"/>
        <v>3988.0565833773589</v>
      </c>
      <c r="H35" s="376">
        <f t="shared" si="1"/>
        <v>994</v>
      </c>
      <c r="I35" s="243">
        <v>0.02</v>
      </c>
      <c r="J35" s="243"/>
      <c r="K35" s="243"/>
      <c r="L35" s="113" t="s">
        <v>116</v>
      </c>
      <c r="M35" s="113"/>
      <c r="N35" s="113"/>
    </row>
    <row r="36" spans="1:14" s="91" customFormat="1" x14ac:dyDescent="0.3">
      <c r="A36" s="91" t="s">
        <v>437</v>
      </c>
      <c r="B36" s="87">
        <v>10</v>
      </c>
      <c r="C36" s="240"/>
      <c r="D36" s="241">
        <f t="shared" si="0"/>
        <v>145000</v>
      </c>
      <c r="F36" s="242">
        <f>ROUND(IF('4. Energy'!D15&gt;0,(2388.225*EXP(-0.003*'4. Energy'!F15)*'4. Energy'!F15+45950)*1.08,0),-2)</f>
        <v>145000</v>
      </c>
      <c r="G36" s="376">
        <f t="shared" si="2"/>
        <v>18778.16336999122</v>
      </c>
      <c r="H36" s="376">
        <f>'7. Revenues and costs'!G38</f>
        <v>4777.237657049619</v>
      </c>
      <c r="I36" s="381">
        <f>'7. Revenues and costs'!E38</f>
        <v>13</v>
      </c>
      <c r="J36" s="229" t="s">
        <v>173</v>
      </c>
      <c r="K36" s="229"/>
      <c r="L36" s="113" t="s">
        <v>117</v>
      </c>
      <c r="M36" s="113"/>
      <c r="N36" s="113"/>
    </row>
    <row r="37" spans="1:14" s="91" customFormat="1" ht="15.6" x14ac:dyDescent="0.3">
      <c r="A37" s="91" t="s">
        <v>438</v>
      </c>
      <c r="B37" s="87">
        <v>20</v>
      </c>
      <c r="C37" s="240"/>
      <c r="D37" s="241">
        <f t="shared" si="0"/>
        <v>84600</v>
      </c>
      <c r="F37" s="242">
        <f>ROUND((10.282125*'3. Technology'!B33+71452.5)*1.08,-2)</f>
        <v>84600</v>
      </c>
      <c r="G37" s="376">
        <f t="shared" si="2"/>
        <v>6788.5228763324849</v>
      </c>
      <c r="H37" s="376">
        <f t="shared" si="1"/>
        <v>0</v>
      </c>
      <c r="I37" s="243">
        <v>0</v>
      </c>
      <c r="J37" s="243"/>
      <c r="K37" s="243"/>
      <c r="L37" s="113" t="s">
        <v>126</v>
      </c>
      <c r="M37" s="113"/>
      <c r="N37" s="113"/>
    </row>
    <row r="38" spans="1:14" s="91" customFormat="1" ht="15.6" x14ac:dyDescent="0.3">
      <c r="A38" s="91" t="s">
        <v>439</v>
      </c>
      <c r="B38" s="87">
        <v>20</v>
      </c>
      <c r="C38" s="240"/>
      <c r="D38" s="241">
        <f t="shared" si="0"/>
        <v>49000</v>
      </c>
      <c r="F38" s="242">
        <f>ROUND((5.95371*'3. Technology'!B33+41373.15)*1.08,-2)</f>
        <v>49000</v>
      </c>
      <c r="G38" s="376">
        <f t="shared" si="2"/>
        <v>3931.8867723438743</v>
      </c>
      <c r="H38" s="376">
        <f t="shared" si="1"/>
        <v>0</v>
      </c>
      <c r="I38" s="243">
        <v>0</v>
      </c>
      <c r="J38" s="243"/>
      <c r="K38" s="243"/>
      <c r="L38" s="113" t="s">
        <v>127</v>
      </c>
      <c r="M38" s="113"/>
      <c r="N38" s="113"/>
    </row>
    <row r="39" spans="1:14" s="91" customFormat="1" x14ac:dyDescent="0.3">
      <c r="A39" s="91" t="s">
        <v>440</v>
      </c>
      <c r="B39" s="87">
        <v>20</v>
      </c>
      <c r="C39" s="240"/>
      <c r="D39" s="241">
        <f t="shared" si="0"/>
        <v>0</v>
      </c>
      <c r="F39" s="242">
        <v>0</v>
      </c>
      <c r="G39" s="376">
        <f t="shared" si="2"/>
        <v>0</v>
      </c>
      <c r="H39" s="376">
        <f t="shared" si="1"/>
        <v>0</v>
      </c>
      <c r="I39" s="243">
        <v>0</v>
      </c>
      <c r="J39" s="243"/>
      <c r="K39" s="243"/>
      <c r="L39" s="113" t="s">
        <v>119</v>
      </c>
      <c r="M39" s="113"/>
      <c r="N39" s="113"/>
    </row>
    <row r="40" spans="1:14" s="91" customFormat="1" ht="15.6" x14ac:dyDescent="0.3">
      <c r="A40" s="91" t="s">
        <v>441</v>
      </c>
      <c r="B40" s="87">
        <v>20</v>
      </c>
      <c r="C40" s="240"/>
      <c r="D40" s="241">
        <f t="shared" si="0"/>
        <v>23300</v>
      </c>
      <c r="F40" s="242">
        <f>ROUND((1.011045*'3. Technology'!B33+20887.65)*1.08,-2)</f>
        <v>23300</v>
      </c>
      <c r="G40" s="376">
        <f t="shared" si="2"/>
        <v>1869.6522815431076</v>
      </c>
      <c r="H40" s="376">
        <f t="shared" si="1"/>
        <v>0</v>
      </c>
      <c r="I40" s="243">
        <v>0</v>
      </c>
      <c r="J40" s="243"/>
      <c r="K40" s="243"/>
      <c r="L40" s="113" t="s">
        <v>128</v>
      </c>
      <c r="M40" s="113"/>
      <c r="N40" s="113"/>
    </row>
    <row r="41" spans="1:14" s="91" customFormat="1" x14ac:dyDescent="0.3">
      <c r="A41" s="247" t="s">
        <v>581</v>
      </c>
      <c r="B41" s="87">
        <v>12</v>
      </c>
      <c r="C41" s="240"/>
      <c r="D41" s="241">
        <f t="shared" si="0"/>
        <v>0</v>
      </c>
      <c r="F41" s="242">
        <f>IF(OR('3. Technology'!B38="Screw press",'2. Plant type'!B13&gt;0),54000,0)</f>
        <v>0</v>
      </c>
      <c r="G41" s="376">
        <f t="shared" si="2"/>
        <v>0</v>
      </c>
      <c r="H41" s="376">
        <f t="shared" si="1"/>
        <v>0</v>
      </c>
      <c r="I41" s="243">
        <v>0.05</v>
      </c>
      <c r="J41" s="243"/>
      <c r="K41" s="243"/>
      <c r="L41" s="113" t="s">
        <v>120</v>
      </c>
      <c r="M41" s="113"/>
      <c r="N41" s="113"/>
    </row>
    <row r="42" spans="1:14" s="91" customFormat="1" x14ac:dyDescent="0.3">
      <c r="A42" s="248" t="s">
        <v>442</v>
      </c>
      <c r="B42" s="87">
        <v>12</v>
      </c>
      <c r="C42" s="240"/>
      <c r="D42" s="241">
        <f t="shared" si="0"/>
        <v>0</v>
      </c>
      <c r="F42" s="242">
        <f>IF('3. Technology'!B38="Centrifuge",100000,0)</f>
        <v>0</v>
      </c>
      <c r="G42" s="376">
        <f t="shared" si="2"/>
        <v>0</v>
      </c>
      <c r="H42" s="376">
        <f t="shared" si="1"/>
        <v>0</v>
      </c>
      <c r="I42" s="243">
        <v>0.05</v>
      </c>
      <c r="J42" s="243"/>
      <c r="K42" s="243"/>
      <c r="L42" s="113"/>
      <c r="M42" s="113"/>
      <c r="N42" s="113"/>
    </row>
    <row r="43" spans="1:14" s="91" customFormat="1" x14ac:dyDescent="0.3">
      <c r="A43" s="91" t="s">
        <v>443</v>
      </c>
      <c r="B43" s="87">
        <v>20</v>
      </c>
      <c r="C43" s="240"/>
      <c r="D43" s="241">
        <f t="shared" si="0"/>
        <v>0</v>
      </c>
      <c r="F43" s="242">
        <f>IF('4. Energy'!D16+'4. Energy'!D17&gt;0,ROUND((2720.5*(('4. Energy'!B16+'4. Energy'!B17)/100*'4. Energy'!B5/365/24)+114812)*1.05,-2),0)</f>
        <v>0</v>
      </c>
      <c r="G43" s="376">
        <f>D43*($B$9*(1+$B$9)^B43)/((1+$B$9)^B43-1)</f>
        <v>0</v>
      </c>
      <c r="H43" s="376">
        <f t="shared" si="1"/>
        <v>0</v>
      </c>
      <c r="I43" s="243">
        <v>0.03</v>
      </c>
      <c r="J43" s="243"/>
      <c r="K43" s="243"/>
      <c r="L43" s="113" t="s">
        <v>121</v>
      </c>
      <c r="M43" s="113"/>
      <c r="N43" s="113"/>
    </row>
    <row r="44" spans="1:14" s="91" customFormat="1" x14ac:dyDescent="0.3">
      <c r="A44" s="91" t="s">
        <v>444</v>
      </c>
      <c r="B44" s="87">
        <v>20</v>
      </c>
      <c r="C44" s="240"/>
      <c r="D44" s="241">
        <f t="shared" si="0"/>
        <v>0</v>
      </c>
      <c r="F44" s="242">
        <f>IF('4. Energy'!D17&gt;0,ROUND(120000*1.05,-2),0)</f>
        <v>0</v>
      </c>
      <c r="G44" s="376">
        <f t="shared" si="2"/>
        <v>0</v>
      </c>
      <c r="H44" s="376">
        <f t="shared" si="1"/>
        <v>0</v>
      </c>
      <c r="I44" s="243">
        <v>0.03</v>
      </c>
      <c r="J44" s="113" t="s">
        <v>131</v>
      </c>
      <c r="K44" s="113"/>
      <c r="L44" s="113" t="s">
        <v>130</v>
      </c>
      <c r="M44" s="113"/>
      <c r="N44" s="113">
        <f>150*24*365</f>
        <v>1314000</v>
      </c>
    </row>
    <row r="45" spans="1:14" s="91" customFormat="1" x14ac:dyDescent="0.3">
      <c r="A45" s="91" t="s">
        <v>445</v>
      </c>
      <c r="B45" s="87">
        <v>20</v>
      </c>
      <c r="C45" s="240"/>
      <c r="D45" s="241">
        <f>F45</f>
        <v>50000</v>
      </c>
      <c r="F45" s="242">
        <f>1000*50</f>
        <v>50000</v>
      </c>
      <c r="G45" s="376">
        <f t="shared" si="2"/>
        <v>4012.129359534566</v>
      </c>
      <c r="H45" s="376">
        <f t="shared" si="1"/>
        <v>0</v>
      </c>
      <c r="I45" s="243">
        <v>0</v>
      </c>
      <c r="J45" s="243"/>
      <c r="K45" s="243"/>
      <c r="L45" s="113" t="s">
        <v>122</v>
      </c>
      <c r="M45" s="113"/>
      <c r="N45" s="113"/>
    </row>
    <row r="46" spans="1:14" s="91" customFormat="1" x14ac:dyDescent="0.3">
      <c r="A46" s="91" t="s">
        <v>446</v>
      </c>
      <c r="B46" s="87">
        <v>20</v>
      </c>
      <c r="C46" s="240"/>
      <c r="D46" s="241">
        <f>F46</f>
        <v>10800</v>
      </c>
      <c r="F46" s="242">
        <f>ROUND(10000*1.08,-2)</f>
        <v>10800</v>
      </c>
      <c r="G46" s="376">
        <f t="shared" si="2"/>
        <v>866.61994165946635</v>
      </c>
      <c r="H46" s="376">
        <f t="shared" si="1"/>
        <v>0</v>
      </c>
      <c r="I46" s="243">
        <v>0</v>
      </c>
      <c r="J46" s="243"/>
      <c r="K46" s="243"/>
      <c r="L46" s="113" t="s">
        <v>119</v>
      </c>
      <c r="M46" s="113"/>
      <c r="N46" s="113"/>
    </row>
    <row r="47" spans="1:14" s="91" customFormat="1" x14ac:dyDescent="0.3">
      <c r="A47" s="91" t="s">
        <v>582</v>
      </c>
      <c r="B47" s="87">
        <v>15</v>
      </c>
      <c r="C47" s="240"/>
      <c r="D47" s="241">
        <f t="shared" si="0"/>
        <v>0</v>
      </c>
      <c r="F47" s="242">
        <f>ROUND(IF('3. Technology'!B50&gt;0,(2680.2*'3. Technology'!B50+44113)*1.08,0),-2)</f>
        <v>0</v>
      </c>
      <c r="G47" s="376">
        <f t="shared" si="2"/>
        <v>0</v>
      </c>
      <c r="H47" s="376">
        <f t="shared" si="1"/>
        <v>0</v>
      </c>
      <c r="I47" s="243">
        <v>0.05</v>
      </c>
      <c r="J47" s="243"/>
      <c r="K47" s="243"/>
      <c r="L47" s="113">
        <v>50</v>
      </c>
      <c r="M47" s="113"/>
      <c r="N47" s="113"/>
    </row>
    <row r="48" spans="1:14" s="91" customFormat="1" x14ac:dyDescent="0.3">
      <c r="A48" s="91" t="s">
        <v>447</v>
      </c>
      <c r="B48" s="87">
        <v>10</v>
      </c>
      <c r="C48" s="240"/>
      <c r="D48" s="241">
        <f t="shared" si="0"/>
        <v>0</v>
      </c>
      <c r="F48" s="242">
        <v>0</v>
      </c>
      <c r="G48" s="376">
        <f t="shared" si="2"/>
        <v>0</v>
      </c>
      <c r="H48" s="376">
        <f t="shared" si="1"/>
        <v>0</v>
      </c>
      <c r="I48" s="243">
        <v>0.05</v>
      </c>
      <c r="J48" s="243"/>
      <c r="K48" s="243"/>
      <c r="L48" s="113"/>
      <c r="M48" s="113"/>
      <c r="N48" s="113"/>
    </row>
    <row r="49" spans="1:14" s="91" customFormat="1" x14ac:dyDescent="0.3">
      <c r="A49" s="91" t="s">
        <v>448</v>
      </c>
      <c r="B49" s="87">
        <v>20</v>
      </c>
      <c r="C49" s="240"/>
      <c r="D49" s="241">
        <f t="shared" si="0"/>
        <v>0</v>
      </c>
      <c r="F49" s="242">
        <v>0</v>
      </c>
      <c r="G49" s="376">
        <f t="shared" si="2"/>
        <v>0</v>
      </c>
      <c r="H49" s="376">
        <f t="shared" si="1"/>
        <v>0</v>
      </c>
      <c r="I49" s="243">
        <v>0.01</v>
      </c>
      <c r="J49" s="243"/>
      <c r="K49" s="243"/>
      <c r="L49" s="113"/>
      <c r="M49" s="113"/>
      <c r="N49" s="113"/>
    </row>
    <row r="50" spans="1:14" s="91" customFormat="1" x14ac:dyDescent="0.3">
      <c r="A50" s="111" t="s">
        <v>449</v>
      </c>
      <c r="B50" s="87">
        <v>20</v>
      </c>
      <c r="C50" s="240"/>
      <c r="D50" s="241">
        <f t="shared" si="0"/>
        <v>0</v>
      </c>
      <c r="F50" s="242">
        <v>0</v>
      </c>
      <c r="G50" s="376">
        <f t="shared" si="2"/>
        <v>0</v>
      </c>
      <c r="H50" s="376">
        <f t="shared" si="1"/>
        <v>0</v>
      </c>
      <c r="I50" s="243">
        <v>0.01</v>
      </c>
      <c r="J50" s="243"/>
      <c r="K50" s="243"/>
      <c r="L50" s="113"/>
      <c r="M50" s="113"/>
      <c r="N50" s="113"/>
    </row>
    <row r="51" spans="1:14" s="91" customFormat="1" x14ac:dyDescent="0.3">
      <c r="A51" s="91" t="s">
        <v>450</v>
      </c>
      <c r="B51" s="87">
        <v>15</v>
      </c>
      <c r="C51" s="240"/>
      <c r="D51" s="241">
        <f t="shared" si="0"/>
        <v>0</v>
      </c>
      <c r="F51" s="242">
        <v>0</v>
      </c>
      <c r="G51" s="376">
        <f t="shared" si="2"/>
        <v>0</v>
      </c>
      <c r="H51" s="376">
        <f t="shared" si="1"/>
        <v>0</v>
      </c>
      <c r="I51" s="243">
        <v>0.01</v>
      </c>
      <c r="J51" s="243"/>
      <c r="K51" s="243"/>
      <c r="L51" s="113"/>
      <c r="M51" s="113"/>
      <c r="N51" s="113"/>
    </row>
    <row r="52" spans="1:14" s="91" customFormat="1" x14ac:dyDescent="0.3">
      <c r="A52" s="91" t="s">
        <v>451</v>
      </c>
      <c r="B52" s="87">
        <v>15</v>
      </c>
      <c r="C52" s="240"/>
      <c r="D52" s="241">
        <f t="shared" si="0"/>
        <v>0</v>
      </c>
      <c r="F52" s="242">
        <v>0</v>
      </c>
      <c r="G52" s="376">
        <f t="shared" si="2"/>
        <v>0</v>
      </c>
      <c r="H52" s="376">
        <f t="shared" si="1"/>
        <v>0</v>
      </c>
      <c r="I52" s="243">
        <v>0.01</v>
      </c>
      <c r="J52" s="243"/>
      <c r="K52" s="243"/>
      <c r="L52" s="113"/>
      <c r="M52" s="113"/>
      <c r="N52" s="113"/>
    </row>
    <row r="53" spans="1:14" s="91" customFormat="1" x14ac:dyDescent="0.3">
      <c r="A53" s="244" t="s">
        <v>452</v>
      </c>
      <c r="B53" s="87">
        <v>10</v>
      </c>
      <c r="C53" s="249"/>
      <c r="D53" s="241">
        <f t="shared" si="0"/>
        <v>0</v>
      </c>
      <c r="E53" s="245"/>
      <c r="F53" s="246">
        <v>0</v>
      </c>
      <c r="G53" s="376">
        <f t="shared" si="2"/>
        <v>0</v>
      </c>
      <c r="H53" s="376">
        <f t="shared" si="1"/>
        <v>0</v>
      </c>
      <c r="I53" s="243">
        <v>0.01</v>
      </c>
      <c r="J53" s="243"/>
      <c r="K53" s="243"/>
      <c r="L53" s="113"/>
      <c r="M53" s="113"/>
      <c r="N53" s="113"/>
    </row>
    <row r="54" spans="1:14" s="91" customFormat="1" ht="15.6" x14ac:dyDescent="0.3">
      <c r="A54" s="250" t="s">
        <v>453</v>
      </c>
      <c r="B54" s="251"/>
      <c r="C54" s="251"/>
      <c r="D54" s="252">
        <f>SUM(D12:D53)</f>
        <v>808200</v>
      </c>
      <c r="E54" s="253"/>
      <c r="F54" s="254"/>
      <c r="G54" s="382">
        <f>SUM(G12:G53)</f>
        <v>77088.814118418595</v>
      </c>
      <c r="H54" s="382">
        <f>SUM(H12:H53)</f>
        <v>15628.23765704962</v>
      </c>
      <c r="I54" s="383"/>
      <c r="J54" s="383"/>
      <c r="K54" s="383"/>
    </row>
    <row r="55" spans="1:14" s="81" customFormat="1" x14ac:dyDescent="0.3">
      <c r="D55" s="237"/>
      <c r="F55" s="236"/>
      <c r="G55" s="376"/>
      <c r="H55" s="376"/>
      <c r="I55" s="376"/>
      <c r="J55" s="376"/>
      <c r="K55" s="377"/>
    </row>
    <row r="56" spans="1:14" s="81" customFormat="1" x14ac:dyDescent="0.3">
      <c r="D56" s="237"/>
      <c r="F56" s="236"/>
      <c r="G56" s="376"/>
      <c r="H56" s="376"/>
      <c r="I56" s="376"/>
      <c r="J56" s="376"/>
      <c r="K56" s="377"/>
    </row>
    <row r="57" spans="1:14" s="81" customFormat="1" x14ac:dyDescent="0.3">
      <c r="D57" s="237"/>
      <c r="F57" s="236"/>
      <c r="G57" s="376"/>
      <c r="H57" s="376"/>
      <c r="I57" s="376"/>
      <c r="J57" s="376"/>
      <c r="K57" s="377"/>
    </row>
    <row r="58" spans="1:14" s="81" customFormat="1" x14ac:dyDescent="0.3">
      <c r="D58" s="237"/>
      <c r="F58" s="236"/>
      <c r="G58" s="376"/>
      <c r="H58" s="376"/>
      <c r="I58" s="376"/>
      <c r="J58" s="376"/>
      <c r="K58" s="377"/>
    </row>
    <row r="59" spans="1:14" s="81" customFormat="1" x14ac:dyDescent="0.3">
      <c r="D59" s="237"/>
      <c r="F59" s="236"/>
      <c r="G59" s="376"/>
      <c r="H59" s="376"/>
      <c r="I59" s="376"/>
      <c r="J59" s="376"/>
      <c r="K59" s="377"/>
    </row>
    <row r="60" spans="1:14" s="81" customFormat="1" x14ac:dyDescent="0.3">
      <c r="D60" s="237"/>
      <c r="F60" s="236"/>
      <c r="G60" s="376"/>
      <c r="H60" s="376"/>
      <c r="I60" s="376"/>
      <c r="J60" s="376"/>
      <c r="K60" s="377"/>
    </row>
    <row r="61" spans="1:14" s="81" customFormat="1" x14ac:dyDescent="0.3">
      <c r="D61" s="237"/>
      <c r="F61" s="236"/>
      <c r="G61" s="376"/>
      <c r="H61" s="376"/>
      <c r="I61" s="376"/>
      <c r="J61" s="376"/>
      <c r="K61" s="377"/>
    </row>
    <row r="62" spans="1:14" s="81" customFormat="1" x14ac:dyDescent="0.3">
      <c r="D62" s="237"/>
      <c r="F62" s="236"/>
      <c r="G62" s="376"/>
      <c r="H62" s="376"/>
      <c r="I62" s="376"/>
      <c r="J62" s="376"/>
      <c r="K62" s="377"/>
    </row>
    <row r="63" spans="1:14" s="81" customFormat="1" x14ac:dyDescent="0.3">
      <c r="D63" s="237"/>
      <c r="F63" s="236"/>
      <c r="G63" s="376"/>
      <c r="H63" s="376"/>
      <c r="I63" s="376"/>
      <c r="J63" s="376"/>
      <c r="K63" s="377"/>
    </row>
    <row r="64" spans="1:14" s="81" customFormat="1" x14ac:dyDescent="0.3">
      <c r="D64" s="237"/>
      <c r="F64" s="236"/>
      <c r="G64" s="376"/>
      <c r="H64" s="376"/>
      <c r="I64" s="376"/>
      <c r="J64" s="376"/>
      <c r="K64" s="377"/>
    </row>
    <row r="65" spans="4:11" s="81" customFormat="1" x14ac:dyDescent="0.3">
      <c r="D65" s="237"/>
      <c r="F65" s="236"/>
      <c r="G65" s="376"/>
      <c r="H65" s="376"/>
      <c r="I65" s="376"/>
      <c r="J65" s="376"/>
      <c r="K65" s="377"/>
    </row>
    <row r="66" spans="4:11" s="81" customFormat="1" x14ac:dyDescent="0.3">
      <c r="D66" s="237"/>
      <c r="F66" s="236"/>
      <c r="G66" s="376"/>
      <c r="H66" s="376"/>
      <c r="I66" s="376"/>
      <c r="J66" s="376"/>
      <c r="K66" s="377"/>
    </row>
    <row r="67" spans="4:11" s="81" customFormat="1" x14ac:dyDescent="0.3">
      <c r="D67" s="237"/>
      <c r="F67" s="236"/>
      <c r="G67" s="376"/>
      <c r="H67" s="376"/>
      <c r="I67" s="376"/>
      <c r="J67" s="376"/>
      <c r="K67" s="377"/>
    </row>
    <row r="68" spans="4:11" s="81" customFormat="1" x14ac:dyDescent="0.3">
      <c r="D68" s="237"/>
      <c r="F68" s="236"/>
      <c r="G68" s="376"/>
      <c r="H68" s="376"/>
      <c r="I68" s="376"/>
      <c r="J68" s="376"/>
      <c r="K68" s="377"/>
    </row>
    <row r="69" spans="4:11" s="81" customFormat="1" x14ac:dyDescent="0.3">
      <c r="D69" s="237"/>
      <c r="F69" s="236"/>
      <c r="G69" s="376"/>
      <c r="H69" s="376"/>
      <c r="I69" s="376"/>
      <c r="J69" s="376"/>
      <c r="K69" s="377"/>
    </row>
    <row r="70" spans="4:11" s="81" customFormat="1" x14ac:dyDescent="0.3">
      <c r="D70" s="237"/>
      <c r="F70" s="236"/>
      <c r="G70" s="376"/>
      <c r="H70" s="376"/>
      <c r="I70" s="376"/>
      <c r="J70" s="376"/>
      <c r="K70" s="377"/>
    </row>
    <row r="71" spans="4:11" s="81" customFormat="1" x14ac:dyDescent="0.3">
      <c r="D71" s="237"/>
      <c r="F71" s="236"/>
      <c r="G71" s="376"/>
      <c r="H71" s="376"/>
      <c r="I71" s="376"/>
      <c r="J71" s="376"/>
      <c r="K71" s="377"/>
    </row>
    <row r="72" spans="4:11" s="81" customFormat="1" x14ac:dyDescent="0.3">
      <c r="D72" s="237"/>
      <c r="F72" s="236"/>
      <c r="G72" s="376"/>
      <c r="H72" s="376"/>
      <c r="I72" s="376"/>
      <c r="J72" s="376"/>
      <c r="K72" s="377"/>
    </row>
  </sheetData>
  <sheetProtection algorithmName="SHA-512" hashValue="d+IweXDV8CNpdsLvE/6h8tH9vuqtZz+xF9uouF3kodk649fW3qG3u/47Rja88y97uhRUYf5wkL2VTUpP0e88uA==" saltValue="cwkJPsa5VAFFTNTrP/sY9w==" spinCount="100000" sheet="1" objects="1" scenarios="1"/>
  <protectedRanges>
    <protectedRange sqref="D12:D53" name="Alue2"/>
    <protectedRange sqref="B12:B53" name="Alue1"/>
  </protectedRanges>
  <phoneticPr fontId="4" type="noConversion"/>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9EA38-5DC6-4780-9C2C-DCAA09B2264C}">
  <sheetPr codeName="Taul1"/>
  <dimension ref="A1:T84"/>
  <sheetViews>
    <sheetView workbookViewId="0">
      <selection activeCell="B3" sqref="B3"/>
    </sheetView>
  </sheetViews>
  <sheetFormatPr defaultRowHeight="14.4" x14ac:dyDescent="0.3"/>
  <cols>
    <col min="1" max="1" width="11.6640625" style="192" customWidth="1"/>
    <col min="2" max="2" width="66.77734375" style="192" customWidth="1"/>
    <col min="3" max="3" width="8.88671875" style="192" customWidth="1"/>
    <col min="4" max="4" width="10.109375" style="192" customWidth="1"/>
    <col min="5" max="6" width="8.88671875" style="192"/>
    <col min="7" max="7" width="9.88671875" style="192" customWidth="1"/>
    <col min="8" max="8" width="8.88671875" style="192"/>
    <col min="9" max="9" width="83.77734375" style="192" customWidth="1"/>
    <col min="10" max="20" width="8.88671875" style="57"/>
    <col min="21" max="16384" width="8.88671875" style="192"/>
  </cols>
  <sheetData>
    <row r="1" spans="1:20" s="258" customFormat="1" ht="24" thickBot="1" x14ac:dyDescent="0.5">
      <c r="A1" s="13" t="s">
        <v>458</v>
      </c>
      <c r="B1" s="257"/>
    </row>
    <row r="2" spans="1:20" s="57" customFormat="1" ht="15" thickTop="1" x14ac:dyDescent="0.3"/>
    <row r="3" spans="1:20" s="57" customFormat="1" ht="21" x14ac:dyDescent="0.3">
      <c r="A3" s="340" t="s">
        <v>459</v>
      </c>
    </row>
    <row r="4" spans="1:20" s="57" customFormat="1" x14ac:dyDescent="0.3"/>
    <row r="5" spans="1:20" s="261" customFormat="1" ht="13.8" customHeight="1" x14ac:dyDescent="0.3">
      <c r="A5" s="132" t="s">
        <v>460</v>
      </c>
      <c r="B5" s="132" t="s">
        <v>461</v>
      </c>
      <c r="C5" s="390" t="s">
        <v>462</v>
      </c>
      <c r="D5" s="390"/>
      <c r="E5" s="390" t="s">
        <v>463</v>
      </c>
      <c r="F5" s="390"/>
      <c r="G5" s="390" t="s">
        <v>464</v>
      </c>
      <c r="H5" s="390"/>
      <c r="I5" s="132" t="s">
        <v>210</v>
      </c>
      <c r="J5" s="260"/>
      <c r="K5" s="260"/>
      <c r="L5" s="260"/>
      <c r="M5" s="260"/>
      <c r="N5" s="260"/>
      <c r="O5" s="260"/>
      <c r="P5" s="260"/>
      <c r="Q5" s="260"/>
      <c r="R5" s="260"/>
      <c r="S5" s="260"/>
      <c r="T5" s="260"/>
    </row>
    <row r="6" spans="1:20" s="263" customFormat="1" ht="13.8" x14ac:dyDescent="0.3">
      <c r="A6" s="262" t="s">
        <v>341</v>
      </c>
      <c r="G6" s="264"/>
      <c r="I6" s="265"/>
      <c r="J6" s="161"/>
      <c r="K6" s="161"/>
      <c r="L6" s="161"/>
      <c r="M6" s="161"/>
      <c r="N6" s="161"/>
      <c r="O6" s="161"/>
      <c r="P6" s="161"/>
      <c r="Q6" s="161"/>
      <c r="R6" s="161"/>
      <c r="S6" s="161"/>
      <c r="T6" s="161"/>
    </row>
    <row r="7" spans="1:20" s="161" customFormat="1" ht="13.8" x14ac:dyDescent="0.3">
      <c r="B7" s="266" t="s">
        <v>595</v>
      </c>
      <c r="C7" s="267">
        <f>IF('4. Energy'!$H$35&lt;0,0,'4. Energy'!$H$35)</f>
        <v>734.95963954609533</v>
      </c>
      <c r="D7" s="161" t="s">
        <v>129</v>
      </c>
      <c r="E7" s="268">
        <v>70</v>
      </c>
      <c r="F7" s="161" t="s">
        <v>133</v>
      </c>
      <c r="G7" s="269">
        <f>C7*E7</f>
        <v>51447.174768226672</v>
      </c>
      <c r="H7" s="161" t="s">
        <v>77</v>
      </c>
      <c r="I7" s="270" t="s">
        <v>471</v>
      </c>
    </row>
    <row r="8" spans="1:20" s="161" customFormat="1" ht="13.8" x14ac:dyDescent="0.3">
      <c r="B8" s="266" t="s">
        <v>596</v>
      </c>
      <c r="C8" s="267">
        <f>IF('4. Energy'!$H$36&lt;0,0,'4. Energy'!$H$36)</f>
        <v>292.72662563354027</v>
      </c>
      <c r="D8" s="161" t="s">
        <v>129</v>
      </c>
      <c r="E8" s="268">
        <v>120</v>
      </c>
      <c r="F8" s="161" t="s">
        <v>133</v>
      </c>
      <c r="G8" s="269">
        <f>C8*E8</f>
        <v>35127.195076024829</v>
      </c>
      <c r="H8" s="161" t="s">
        <v>77</v>
      </c>
      <c r="I8" s="270"/>
    </row>
    <row r="9" spans="1:20" s="161" customFormat="1" ht="13.8" x14ac:dyDescent="0.3">
      <c r="B9" s="161" t="s">
        <v>597</v>
      </c>
      <c r="C9" s="267">
        <f>'4. Energy'!H37</f>
        <v>0</v>
      </c>
      <c r="D9" s="161" t="s">
        <v>129</v>
      </c>
      <c r="E9" s="268">
        <v>100</v>
      </c>
      <c r="F9" s="161" t="s">
        <v>133</v>
      </c>
      <c r="G9" s="269">
        <f t="shared" ref="G9:G19" si="0">C9*E9</f>
        <v>0</v>
      </c>
      <c r="H9" s="161" t="s">
        <v>77</v>
      </c>
      <c r="I9" s="270" t="s">
        <v>472</v>
      </c>
    </row>
    <row r="10" spans="1:20" s="161" customFormat="1" ht="13.8" x14ac:dyDescent="0.3">
      <c r="B10" s="161" t="s">
        <v>598</v>
      </c>
      <c r="C10" s="267">
        <f>'4. Energy'!H38</f>
        <v>0</v>
      </c>
      <c r="D10" s="161" t="s">
        <v>129</v>
      </c>
      <c r="E10" s="268">
        <v>120</v>
      </c>
      <c r="F10" s="161" t="s">
        <v>133</v>
      </c>
      <c r="G10" s="269">
        <f t="shared" si="0"/>
        <v>0</v>
      </c>
      <c r="H10" s="161" t="s">
        <v>77</v>
      </c>
      <c r="I10" s="270" t="s">
        <v>579</v>
      </c>
    </row>
    <row r="11" spans="1:20" s="161" customFormat="1" ht="13.8" x14ac:dyDescent="0.3">
      <c r="B11" s="161" t="s">
        <v>468</v>
      </c>
      <c r="C11" s="271">
        <f>'4. Energy'!N35</f>
        <v>0</v>
      </c>
      <c r="D11" s="161" t="s">
        <v>129</v>
      </c>
      <c r="E11" s="268">
        <v>40</v>
      </c>
      <c r="F11" s="161" t="s">
        <v>133</v>
      </c>
      <c r="G11" s="269">
        <f>C11*E11</f>
        <v>0</v>
      </c>
      <c r="H11" s="161" t="s">
        <v>77</v>
      </c>
      <c r="I11" s="270"/>
    </row>
    <row r="12" spans="1:20" s="161" customFormat="1" ht="13.8" x14ac:dyDescent="0.3">
      <c r="B12" s="161" t="s">
        <v>469</v>
      </c>
      <c r="C12" s="271">
        <f>'4. Energy'!N36</f>
        <v>0</v>
      </c>
      <c r="D12" s="161" t="s">
        <v>129</v>
      </c>
      <c r="E12" s="268">
        <v>50</v>
      </c>
      <c r="F12" s="161" t="s">
        <v>133</v>
      </c>
      <c r="G12" s="269">
        <f t="shared" si="0"/>
        <v>0</v>
      </c>
      <c r="H12" s="161" t="s">
        <v>77</v>
      </c>
      <c r="I12" s="270"/>
    </row>
    <row r="13" spans="1:20" s="161" customFormat="1" ht="13.8" x14ac:dyDescent="0.3">
      <c r="B13" s="266" t="s">
        <v>580</v>
      </c>
      <c r="C13" s="271">
        <f>'4. Energy'!N37</f>
        <v>0</v>
      </c>
      <c r="D13" s="161" t="s">
        <v>129</v>
      </c>
      <c r="E13" s="268">
        <v>80</v>
      </c>
      <c r="F13" s="161" t="s">
        <v>133</v>
      </c>
      <c r="G13" s="269">
        <f t="shared" ref="G13" si="1">C13*E13</f>
        <v>0</v>
      </c>
      <c r="H13" s="161" t="s">
        <v>77</v>
      </c>
      <c r="I13" s="270"/>
    </row>
    <row r="14" spans="1:20" s="161" customFormat="1" ht="13.8" x14ac:dyDescent="0.3">
      <c r="B14" s="266" t="s">
        <v>599</v>
      </c>
      <c r="C14" s="271">
        <f>'4. Energy'!N38</f>
        <v>0</v>
      </c>
      <c r="D14" s="161" t="s">
        <v>129</v>
      </c>
      <c r="E14" s="268">
        <v>120</v>
      </c>
      <c r="F14" s="161" t="s">
        <v>133</v>
      </c>
      <c r="G14" s="269">
        <f>C14*E14</f>
        <v>0</v>
      </c>
      <c r="H14" s="161" t="s">
        <v>77</v>
      </c>
      <c r="I14" s="270" t="s">
        <v>593</v>
      </c>
    </row>
    <row r="15" spans="1:20" s="161" customFormat="1" ht="13.8" x14ac:dyDescent="0.3">
      <c r="B15" s="161" t="s">
        <v>470</v>
      </c>
      <c r="C15" s="271">
        <f>'4. Energy'!N39</f>
        <v>0</v>
      </c>
      <c r="D15" s="161" t="s">
        <v>129</v>
      </c>
      <c r="E15" s="268">
        <v>60</v>
      </c>
      <c r="F15" s="161" t="s">
        <v>133</v>
      </c>
      <c r="G15" s="269">
        <f>C15*E15</f>
        <v>0</v>
      </c>
      <c r="H15" s="161" t="s">
        <v>77</v>
      </c>
      <c r="I15" s="270"/>
    </row>
    <row r="16" spans="1:20" s="263" customFormat="1" ht="13.8" x14ac:dyDescent="0.3">
      <c r="A16" s="262" t="s">
        <v>466</v>
      </c>
      <c r="G16" s="264"/>
      <c r="I16" s="265"/>
      <c r="J16" s="161"/>
      <c r="K16" s="161"/>
      <c r="L16" s="161"/>
      <c r="M16" s="161"/>
      <c r="N16" s="161"/>
      <c r="O16" s="161"/>
      <c r="P16" s="161"/>
      <c r="Q16" s="161"/>
      <c r="R16" s="161"/>
      <c r="S16" s="161"/>
      <c r="T16" s="161"/>
    </row>
    <row r="17" spans="1:20" s="161" customFormat="1" ht="13.8" x14ac:dyDescent="0.3">
      <c r="B17" s="161" t="s">
        <v>474</v>
      </c>
      <c r="C17" s="272"/>
      <c r="D17" s="161" t="s">
        <v>9</v>
      </c>
      <c r="E17" s="272">
        <v>40</v>
      </c>
      <c r="F17" s="161" t="s">
        <v>91</v>
      </c>
      <c r="G17" s="269">
        <f t="shared" si="0"/>
        <v>0</v>
      </c>
      <c r="H17" s="161" t="s">
        <v>77</v>
      </c>
      <c r="I17" s="270" t="s">
        <v>473</v>
      </c>
    </row>
    <row r="18" spans="1:20" s="263" customFormat="1" ht="13.8" x14ac:dyDescent="0.3">
      <c r="A18" s="262" t="s">
        <v>465</v>
      </c>
      <c r="G18" s="264"/>
      <c r="I18" s="265"/>
      <c r="J18" s="161"/>
      <c r="K18" s="161"/>
      <c r="L18" s="161"/>
      <c r="M18" s="161"/>
      <c r="N18" s="161"/>
      <c r="O18" s="161"/>
      <c r="P18" s="161"/>
      <c r="Q18" s="161"/>
      <c r="R18" s="161"/>
      <c r="S18" s="161"/>
      <c r="T18" s="161"/>
    </row>
    <row r="19" spans="1:20" s="161" customFormat="1" ht="13.8" x14ac:dyDescent="0.3">
      <c r="B19" s="161" t="s">
        <v>569</v>
      </c>
      <c r="C19" s="269">
        <f>'5. Nutrients'!G18</f>
        <v>5015.6359790693759</v>
      </c>
      <c r="D19" s="161" t="s">
        <v>78</v>
      </c>
      <c r="E19" s="273">
        <v>1.3</v>
      </c>
      <c r="F19" s="161" t="s">
        <v>76</v>
      </c>
      <c r="G19" s="269">
        <f t="shared" si="0"/>
        <v>6520.3267727901894</v>
      </c>
      <c r="H19" s="161" t="s">
        <v>77</v>
      </c>
      <c r="I19" s="270"/>
    </row>
    <row r="20" spans="1:20" s="263" customFormat="1" ht="13.8" x14ac:dyDescent="0.3">
      <c r="A20" s="262" t="s">
        <v>467</v>
      </c>
      <c r="G20" s="264"/>
      <c r="I20" s="265"/>
      <c r="J20" s="161"/>
      <c r="K20" s="161"/>
      <c r="L20" s="161"/>
      <c r="M20" s="161"/>
      <c r="N20" s="161"/>
      <c r="O20" s="161"/>
      <c r="P20" s="161"/>
      <c r="Q20" s="161"/>
      <c r="R20" s="161"/>
      <c r="S20" s="161"/>
      <c r="T20" s="161"/>
    </row>
    <row r="21" spans="1:20" s="161" customFormat="1" thickBot="1" x14ac:dyDescent="0.35">
      <c r="A21" s="274"/>
      <c r="B21" s="274" t="s">
        <v>467</v>
      </c>
      <c r="C21" s="274"/>
      <c r="D21" s="274"/>
      <c r="E21" s="274"/>
      <c r="F21" s="274"/>
      <c r="G21" s="275"/>
      <c r="H21" s="274" t="s">
        <v>77</v>
      </c>
      <c r="I21" s="276"/>
    </row>
    <row r="22" spans="1:20" s="161" customFormat="1" ht="18" x14ac:dyDescent="0.35">
      <c r="A22" s="155" t="s">
        <v>475</v>
      </c>
      <c r="B22" s="155"/>
      <c r="C22" s="155"/>
      <c r="D22" s="155"/>
      <c r="E22" s="155"/>
      <c r="F22" s="155"/>
      <c r="G22" s="277">
        <f>SUM(G7:G21)</f>
        <v>93094.696617041685</v>
      </c>
      <c r="H22" s="155" t="s">
        <v>77</v>
      </c>
    </row>
    <row r="23" spans="1:20" s="161" customFormat="1" ht="13.8" x14ac:dyDescent="0.3"/>
    <row r="24" spans="1:20" s="57" customFormat="1" ht="18" x14ac:dyDescent="0.3">
      <c r="A24" s="278" t="s">
        <v>476</v>
      </c>
    </row>
    <row r="25" spans="1:20" s="279" customFormat="1" ht="13.8" x14ac:dyDescent="0.3">
      <c r="A25" s="259" t="s">
        <v>460</v>
      </c>
      <c r="B25" s="259" t="s">
        <v>461</v>
      </c>
      <c r="C25" s="389" t="s">
        <v>462</v>
      </c>
      <c r="D25" s="389"/>
      <c r="E25" s="389" t="s">
        <v>463</v>
      </c>
      <c r="F25" s="389"/>
      <c r="G25" s="390" t="s">
        <v>464</v>
      </c>
      <c r="H25" s="390"/>
      <c r="I25" s="259" t="s">
        <v>210</v>
      </c>
      <c r="J25" s="161"/>
      <c r="K25" s="161"/>
      <c r="L25" s="161"/>
      <c r="M25" s="161"/>
      <c r="N25" s="161"/>
      <c r="O25" s="161"/>
      <c r="P25" s="161"/>
      <c r="Q25" s="161"/>
      <c r="R25" s="161"/>
      <c r="S25" s="161"/>
      <c r="T25" s="161"/>
    </row>
    <row r="26" spans="1:20" s="282" customFormat="1" ht="13.8" x14ac:dyDescent="0.3">
      <c r="A26" s="280" t="s">
        <v>483</v>
      </c>
      <c r="B26" s="280"/>
      <c r="C26" s="280"/>
      <c r="D26" s="280"/>
      <c r="E26" s="280"/>
      <c r="F26" s="280"/>
      <c r="G26" s="280"/>
      <c r="H26" s="280"/>
      <c r="I26" s="281"/>
      <c r="J26" s="165"/>
      <c r="K26" s="165"/>
      <c r="L26" s="165"/>
      <c r="M26" s="165"/>
      <c r="N26" s="165"/>
      <c r="O26" s="165"/>
      <c r="P26" s="165"/>
      <c r="Q26" s="165"/>
      <c r="R26" s="165"/>
      <c r="S26" s="165"/>
      <c r="T26" s="165"/>
    </row>
    <row r="27" spans="1:20" s="161" customFormat="1" ht="13.8" x14ac:dyDescent="0.3">
      <c r="B27" s="266" t="s">
        <v>478</v>
      </c>
      <c r="C27" s="268">
        <f>'3. Technology'!B13</f>
        <v>1000</v>
      </c>
      <c r="D27" s="161" t="s">
        <v>9</v>
      </c>
      <c r="E27" s="268">
        <v>20</v>
      </c>
      <c r="F27" s="161" t="s">
        <v>91</v>
      </c>
      <c r="G27" s="269">
        <f>C27*E27</f>
        <v>20000</v>
      </c>
      <c r="H27" s="161" t="s">
        <v>77</v>
      </c>
      <c r="I27" s="341" t="s">
        <v>484</v>
      </c>
    </row>
    <row r="28" spans="1:20" s="161" customFormat="1" ht="13.8" x14ac:dyDescent="0.3">
      <c r="B28" s="266" t="s">
        <v>479</v>
      </c>
      <c r="C28" s="268"/>
      <c r="D28" s="161" t="s">
        <v>9</v>
      </c>
      <c r="E28" s="268"/>
      <c r="F28" s="161" t="s">
        <v>91</v>
      </c>
      <c r="G28" s="269">
        <f>C28*E28</f>
        <v>0</v>
      </c>
      <c r="H28" s="161" t="s">
        <v>77</v>
      </c>
      <c r="I28" s="270" t="s">
        <v>485</v>
      </c>
    </row>
    <row r="29" spans="1:20" s="161" customFormat="1" ht="13.8" x14ac:dyDescent="0.3">
      <c r="B29" s="161" t="s">
        <v>480</v>
      </c>
      <c r="C29" s="268"/>
      <c r="D29" s="161" t="s">
        <v>9</v>
      </c>
      <c r="E29" s="268"/>
      <c r="F29" s="161" t="s">
        <v>91</v>
      </c>
      <c r="G29" s="269">
        <f t="shared" ref="G29:G31" si="2">C29*E29</f>
        <v>0</v>
      </c>
      <c r="H29" s="161" t="s">
        <v>77</v>
      </c>
    </row>
    <row r="30" spans="1:20" s="161" customFormat="1" ht="13.8" x14ac:dyDescent="0.3">
      <c r="B30" s="161" t="s">
        <v>481</v>
      </c>
      <c r="C30" s="268"/>
      <c r="D30" s="161" t="s">
        <v>9</v>
      </c>
      <c r="E30" s="268"/>
      <c r="F30" s="161" t="s">
        <v>91</v>
      </c>
      <c r="G30" s="269">
        <f t="shared" si="2"/>
        <v>0</v>
      </c>
      <c r="H30" s="161" t="s">
        <v>77</v>
      </c>
    </row>
    <row r="31" spans="1:20" s="161" customFormat="1" ht="13.8" x14ac:dyDescent="0.3">
      <c r="B31" s="266" t="s">
        <v>482</v>
      </c>
      <c r="C31" s="268"/>
      <c r="D31" s="161" t="s">
        <v>9</v>
      </c>
      <c r="E31" s="268"/>
      <c r="F31" s="161" t="s">
        <v>91</v>
      </c>
      <c r="G31" s="269">
        <f t="shared" si="2"/>
        <v>0</v>
      </c>
      <c r="H31" s="161" t="s">
        <v>77</v>
      </c>
    </row>
    <row r="32" spans="1:20" s="282" customFormat="1" ht="13.8" x14ac:dyDescent="0.3">
      <c r="A32" s="280" t="s">
        <v>486</v>
      </c>
      <c r="B32" s="280"/>
      <c r="C32" s="280"/>
      <c r="D32" s="280"/>
      <c r="E32" s="280"/>
      <c r="F32" s="280"/>
      <c r="G32" s="280"/>
      <c r="H32" s="280"/>
      <c r="I32" s="281"/>
      <c r="J32" s="165"/>
      <c r="K32" s="165"/>
      <c r="L32" s="165"/>
      <c r="M32" s="165"/>
      <c r="N32" s="165"/>
      <c r="O32" s="165"/>
      <c r="P32" s="165"/>
      <c r="Q32" s="165"/>
      <c r="R32" s="165"/>
      <c r="S32" s="165"/>
      <c r="T32" s="165"/>
    </row>
    <row r="33" spans="1:20" s="161" customFormat="1" ht="13.8" x14ac:dyDescent="0.3">
      <c r="B33" s="161" t="s">
        <v>487</v>
      </c>
      <c r="C33" s="283">
        <f>IF('4. Energy'!F36&lt;0,-'4. Energy'!F36,0)</f>
        <v>0</v>
      </c>
      <c r="D33" s="161" t="s">
        <v>52</v>
      </c>
      <c r="E33" s="272"/>
      <c r="F33" s="161" t="s">
        <v>132</v>
      </c>
      <c r="G33" s="269">
        <f>C33*E33</f>
        <v>0</v>
      </c>
      <c r="H33" s="161" t="s">
        <v>77</v>
      </c>
    </row>
    <row r="34" spans="1:20" s="161" customFormat="1" ht="13.8" x14ac:dyDescent="0.3">
      <c r="B34" s="161" t="s">
        <v>585</v>
      </c>
      <c r="C34" s="283">
        <f>IF('4. Energy'!F35&lt;0,-'4. Energy'!F35,0)</f>
        <v>0</v>
      </c>
      <c r="D34" s="161" t="s">
        <v>52</v>
      </c>
      <c r="E34" s="272"/>
      <c r="F34" s="161" t="s">
        <v>132</v>
      </c>
      <c r="G34" s="269">
        <f t="shared" ref="G34:G36" si="3">C34*E34</f>
        <v>0</v>
      </c>
      <c r="H34" s="161" t="s">
        <v>77</v>
      </c>
    </row>
    <row r="35" spans="1:20" s="161" customFormat="1" ht="13.8" x14ac:dyDescent="0.3">
      <c r="B35" s="161" t="s">
        <v>488</v>
      </c>
      <c r="C35" s="284">
        <f>'1. Feedstock'!C46</f>
        <v>0</v>
      </c>
      <c r="D35" s="161" t="s">
        <v>9</v>
      </c>
      <c r="E35" s="272"/>
      <c r="F35" s="161" t="s">
        <v>91</v>
      </c>
      <c r="G35" s="269">
        <f t="shared" si="3"/>
        <v>0</v>
      </c>
      <c r="H35" s="161" t="s">
        <v>77</v>
      </c>
      <c r="I35" s="270"/>
    </row>
    <row r="36" spans="1:20" s="161" customFormat="1" ht="13.8" x14ac:dyDescent="0.3">
      <c r="B36" s="161" t="s">
        <v>489</v>
      </c>
      <c r="G36" s="285">
        <f t="shared" si="3"/>
        <v>0</v>
      </c>
      <c r="H36" s="161" t="s">
        <v>77</v>
      </c>
    </row>
    <row r="37" spans="1:20" s="282" customFormat="1" ht="13.8" x14ac:dyDescent="0.3">
      <c r="A37" s="280" t="s">
        <v>490</v>
      </c>
      <c r="B37" s="280"/>
      <c r="C37" s="280"/>
      <c r="D37" s="280"/>
      <c r="E37" s="280"/>
      <c r="F37" s="280"/>
      <c r="G37" s="280"/>
      <c r="H37" s="280"/>
      <c r="I37" s="281"/>
      <c r="J37" s="165"/>
      <c r="K37" s="165"/>
      <c r="L37" s="165"/>
      <c r="M37" s="165"/>
      <c r="N37" s="165"/>
      <c r="O37" s="165"/>
      <c r="P37" s="165"/>
      <c r="Q37" s="165"/>
      <c r="R37" s="165"/>
      <c r="S37" s="165"/>
      <c r="T37" s="165"/>
    </row>
    <row r="38" spans="1:20" s="161" customFormat="1" ht="15" x14ac:dyDescent="0.35">
      <c r="B38" s="161" t="s">
        <v>491</v>
      </c>
      <c r="C38" s="271">
        <f>'4. Energy'!D15</f>
        <v>367.47981977304761</v>
      </c>
      <c r="D38" s="161" t="s">
        <v>504</v>
      </c>
      <c r="E38" s="286">
        <v>13</v>
      </c>
      <c r="F38" s="161" t="s">
        <v>505</v>
      </c>
      <c r="G38" s="269">
        <f t="shared" ref="G38:G45" si="4">C38*E38</f>
        <v>4777.237657049619</v>
      </c>
      <c r="H38" s="161" t="s">
        <v>77</v>
      </c>
      <c r="I38" s="287"/>
    </row>
    <row r="39" spans="1:20" s="161" customFormat="1" ht="13.8" x14ac:dyDescent="0.3">
      <c r="B39" s="161" t="s">
        <v>594</v>
      </c>
      <c r="E39" s="288"/>
      <c r="G39" s="269">
        <f>'6. Investments'!H43</f>
        <v>0</v>
      </c>
      <c r="H39" s="161" t="s">
        <v>77</v>
      </c>
    </row>
    <row r="40" spans="1:20" s="161" customFormat="1" ht="13.8" x14ac:dyDescent="0.3">
      <c r="B40" s="161" t="s">
        <v>497</v>
      </c>
      <c r="C40" s="289"/>
      <c r="D40" s="289"/>
      <c r="E40" s="290"/>
      <c r="F40" s="289"/>
      <c r="G40" s="269">
        <f>'6. Investments'!H44</f>
        <v>0</v>
      </c>
      <c r="H40" s="161" t="s">
        <v>77</v>
      </c>
    </row>
    <row r="41" spans="1:20" s="161" customFormat="1" ht="13.8" x14ac:dyDescent="0.3">
      <c r="B41" s="161" t="s">
        <v>492</v>
      </c>
      <c r="E41" s="288"/>
      <c r="G41" s="269">
        <f>'6. Investments'!H54-'7. Revenues and costs'!G38-'7. Revenues and costs'!G39-'7. Revenues and costs'!G40-'7. Revenues and costs'!G42</f>
        <v>10851</v>
      </c>
      <c r="H41" s="161" t="s">
        <v>77</v>
      </c>
    </row>
    <row r="42" spans="1:20" s="161" customFormat="1" ht="13.8" x14ac:dyDescent="0.3">
      <c r="B42" s="161" t="s">
        <v>496</v>
      </c>
      <c r="E42" s="288"/>
      <c r="G42" s="269">
        <f>SUM('6. Investments'!H47:H49)</f>
        <v>0</v>
      </c>
      <c r="H42" s="161" t="s">
        <v>77</v>
      </c>
    </row>
    <row r="43" spans="1:20" s="161" customFormat="1" ht="13.8" x14ac:dyDescent="0.3">
      <c r="B43" s="161" t="s">
        <v>493</v>
      </c>
      <c r="C43" s="268"/>
      <c r="D43" s="161" t="s">
        <v>92</v>
      </c>
      <c r="E43" s="268"/>
      <c r="F43" s="161" t="s">
        <v>93</v>
      </c>
      <c r="G43" s="269">
        <f t="shared" si="4"/>
        <v>0</v>
      </c>
      <c r="H43" s="161" t="s">
        <v>77</v>
      </c>
    </row>
    <row r="44" spans="1:20" s="161" customFormat="1" ht="13.8" x14ac:dyDescent="0.3">
      <c r="B44" s="161" t="s">
        <v>494</v>
      </c>
      <c r="C44" s="286">
        <v>182.5</v>
      </c>
      <c r="D44" s="161" t="s">
        <v>92</v>
      </c>
      <c r="E44" s="273">
        <v>25.8</v>
      </c>
      <c r="F44" s="161" t="s">
        <v>93</v>
      </c>
      <c r="G44" s="269">
        <f t="shared" si="4"/>
        <v>4708.5</v>
      </c>
      <c r="H44" s="161" t="s">
        <v>77</v>
      </c>
    </row>
    <row r="45" spans="1:20" s="161" customFormat="1" ht="13.8" x14ac:dyDescent="0.3">
      <c r="B45" s="161" t="s">
        <v>495</v>
      </c>
      <c r="E45" s="288"/>
      <c r="G45" s="291">
        <f t="shared" si="4"/>
        <v>0</v>
      </c>
      <c r="H45" s="161" t="s">
        <v>77</v>
      </c>
    </row>
    <row r="46" spans="1:20" s="282" customFormat="1" ht="13.8" x14ac:dyDescent="0.3">
      <c r="A46" s="280" t="s">
        <v>498</v>
      </c>
      <c r="B46" s="280"/>
      <c r="C46" s="280"/>
      <c r="D46" s="280"/>
      <c r="E46" s="280"/>
      <c r="F46" s="280"/>
      <c r="G46" s="280"/>
      <c r="H46" s="280"/>
      <c r="I46" s="281"/>
      <c r="J46" s="165"/>
      <c r="K46" s="165"/>
      <c r="L46" s="165"/>
      <c r="M46" s="165"/>
      <c r="N46" s="165"/>
      <c r="O46" s="165"/>
      <c r="P46" s="165"/>
      <c r="Q46" s="165"/>
      <c r="R46" s="165"/>
      <c r="S46" s="165"/>
      <c r="T46" s="165"/>
    </row>
    <row r="47" spans="1:20" s="161" customFormat="1" ht="13.8" x14ac:dyDescent="0.3">
      <c r="B47" s="161" t="s">
        <v>499</v>
      </c>
      <c r="C47" s="272">
        <v>0.5</v>
      </c>
      <c r="D47" s="161" t="s">
        <v>501</v>
      </c>
      <c r="G47" s="292">
        <f>C47/100*'6. Investments'!D54</f>
        <v>4041</v>
      </c>
      <c r="H47" s="161" t="s">
        <v>77</v>
      </c>
    </row>
    <row r="48" spans="1:20" s="161" customFormat="1" thickBot="1" x14ac:dyDescent="0.35">
      <c r="A48" s="274"/>
      <c r="B48" s="274" t="s">
        <v>500</v>
      </c>
      <c r="C48" s="274"/>
      <c r="D48" s="274"/>
      <c r="E48" s="274"/>
      <c r="F48" s="274"/>
      <c r="G48" s="293">
        <v>0</v>
      </c>
      <c r="H48" s="274" t="s">
        <v>77</v>
      </c>
    </row>
    <row r="49" spans="1:20" s="296" customFormat="1" ht="15.6" x14ac:dyDescent="0.3">
      <c r="A49" s="294" t="s">
        <v>477</v>
      </c>
      <c r="B49" s="294"/>
      <c r="C49" s="294"/>
      <c r="D49" s="294"/>
      <c r="E49" s="294"/>
      <c r="F49" s="294"/>
      <c r="G49" s="295">
        <f>SUM(G27:G48)</f>
        <v>44377.73765704962</v>
      </c>
      <c r="H49" s="294" t="s">
        <v>77</v>
      </c>
    </row>
    <row r="50" spans="1:20" s="279" customFormat="1" ht="13.8" x14ac:dyDescent="0.3">
      <c r="A50" s="297"/>
      <c r="B50" s="297"/>
      <c r="C50" s="297"/>
      <c r="D50" s="297"/>
      <c r="E50" s="297"/>
      <c r="F50" s="297"/>
      <c r="G50" s="298"/>
      <c r="H50" s="299"/>
      <c r="I50" s="300"/>
      <c r="J50" s="161"/>
      <c r="K50" s="161"/>
      <c r="L50" s="161"/>
      <c r="M50" s="161"/>
      <c r="N50" s="161"/>
      <c r="O50" s="161"/>
      <c r="P50" s="161"/>
      <c r="Q50" s="161"/>
      <c r="R50" s="161"/>
      <c r="S50" s="161"/>
      <c r="T50" s="161"/>
    </row>
    <row r="51" spans="1:20" s="279" customFormat="1" ht="18" x14ac:dyDescent="0.3">
      <c r="A51" s="342" t="s">
        <v>503</v>
      </c>
      <c r="B51" s="297"/>
      <c r="C51" s="297"/>
      <c r="D51" s="297"/>
      <c r="E51" s="297"/>
      <c r="F51" s="297"/>
      <c r="G51" s="298"/>
      <c r="H51" s="299"/>
      <c r="I51" s="300"/>
      <c r="J51" s="161"/>
      <c r="K51" s="161"/>
      <c r="L51" s="161"/>
      <c r="M51" s="161"/>
      <c r="N51" s="161"/>
      <c r="O51" s="161"/>
      <c r="P51" s="161"/>
      <c r="Q51" s="161"/>
      <c r="R51" s="161"/>
      <c r="S51" s="161"/>
      <c r="T51" s="161"/>
    </row>
    <row r="52" spans="1:20" s="349" customFormat="1" ht="15.6" x14ac:dyDescent="0.3">
      <c r="A52" s="344" t="s">
        <v>502</v>
      </c>
      <c r="B52" s="345"/>
      <c r="C52" s="345"/>
      <c r="D52" s="345"/>
      <c r="E52" s="345"/>
      <c r="F52" s="345"/>
      <c r="G52" s="346">
        <f>G22-G49</f>
        <v>48716.958959992066</v>
      </c>
      <c r="H52" s="347" t="s">
        <v>77</v>
      </c>
      <c r="I52" s="348"/>
      <c r="J52" s="296"/>
      <c r="K52" s="296"/>
      <c r="L52" s="296"/>
      <c r="M52" s="296"/>
      <c r="N52" s="296"/>
      <c r="O52" s="296"/>
      <c r="P52" s="296"/>
      <c r="Q52" s="296"/>
      <c r="R52" s="296"/>
      <c r="S52" s="296"/>
      <c r="T52" s="296"/>
    </row>
    <row r="53" spans="1:20" s="57" customFormat="1" x14ac:dyDescent="0.3"/>
    <row r="54" spans="1:20" s="57" customFormat="1" x14ac:dyDescent="0.3"/>
    <row r="55" spans="1:20" s="57" customFormat="1" x14ac:dyDescent="0.3"/>
    <row r="56" spans="1:20" s="57" customFormat="1" x14ac:dyDescent="0.3"/>
    <row r="57" spans="1:20" s="57" customFormat="1" x14ac:dyDescent="0.3"/>
    <row r="58" spans="1:20" s="57" customFormat="1" x14ac:dyDescent="0.3"/>
    <row r="59" spans="1:20" s="57" customFormat="1" x14ac:dyDescent="0.3"/>
    <row r="60" spans="1:20" s="57" customFormat="1" x14ac:dyDescent="0.3"/>
    <row r="61" spans="1:20" s="57" customFormat="1" x14ac:dyDescent="0.3"/>
    <row r="62" spans="1:20" s="57" customFormat="1" x14ac:dyDescent="0.3"/>
    <row r="63" spans="1:20" s="57" customFormat="1" x14ac:dyDescent="0.3"/>
    <row r="64" spans="1:20" s="57" customFormat="1" x14ac:dyDescent="0.3"/>
    <row r="65" s="57" customFormat="1" x14ac:dyDescent="0.3"/>
    <row r="66" s="57" customFormat="1" x14ac:dyDescent="0.3"/>
    <row r="67" s="57" customFormat="1" x14ac:dyDescent="0.3"/>
    <row r="68" s="57" customFormat="1" x14ac:dyDescent="0.3"/>
    <row r="69" s="57" customFormat="1" x14ac:dyDescent="0.3"/>
    <row r="70" s="57" customFormat="1" x14ac:dyDescent="0.3"/>
    <row r="71" s="57" customFormat="1" x14ac:dyDescent="0.3"/>
    <row r="72" s="57" customFormat="1" x14ac:dyDescent="0.3"/>
    <row r="73" s="57" customFormat="1" x14ac:dyDescent="0.3"/>
    <row r="74" s="57" customFormat="1" x14ac:dyDescent="0.3"/>
    <row r="75" s="57" customFormat="1" x14ac:dyDescent="0.3"/>
    <row r="76" s="57" customFormat="1" x14ac:dyDescent="0.3"/>
    <row r="77" s="57" customFormat="1" x14ac:dyDescent="0.3"/>
    <row r="78" s="57" customFormat="1" x14ac:dyDescent="0.3"/>
    <row r="79" s="57" customFormat="1" x14ac:dyDescent="0.3"/>
    <row r="80" s="57" customFormat="1" x14ac:dyDescent="0.3"/>
    <row r="81" s="57" customFormat="1" x14ac:dyDescent="0.3"/>
    <row r="82" s="57" customFormat="1" x14ac:dyDescent="0.3"/>
    <row r="83" s="57" customFormat="1" x14ac:dyDescent="0.3"/>
    <row r="84" s="57" customFormat="1" x14ac:dyDescent="0.3"/>
  </sheetData>
  <sheetProtection algorithmName="SHA-512" hashValue="bmE0O5OMh0t4XtIgArDUNSTmNt8gKblRuYZHAvEWpZMubcwCKi6g1S7s6j8ADM0uhnj3vypT42MYffK7kMkSbQ==" saltValue="IuXix8dL2ncK5wBCkxnjLw==" spinCount="100000" sheet="1" objects="1" scenarios="1"/>
  <protectedRanges>
    <protectedRange sqref="G47:G48" name="Alue15"/>
    <protectedRange sqref="C47" name="Alue14"/>
    <protectedRange sqref="G45" name="Alue13"/>
    <protectedRange sqref="E43:E44" name="Alue12"/>
    <protectedRange sqref="C43:C44" name="Alue11"/>
    <protectedRange sqref="E38" name="Alue10"/>
    <protectedRange sqref="G36" name="Alue9"/>
    <protectedRange sqref="E33:E35" name="Alue8"/>
    <protectedRange sqref="E27:E31" name="Alue7"/>
    <protectedRange sqref="C27:C31" name="Alue6"/>
    <protectedRange sqref="G21" name="Alue5"/>
    <protectedRange sqref="E19" name="Alue4"/>
    <protectedRange sqref="E17" name="Alue3"/>
    <protectedRange sqref="C17" name="Alue2"/>
    <protectedRange sqref="E7:E15" name="Alue1"/>
  </protectedRanges>
  <mergeCells count="6">
    <mergeCell ref="C25:D25"/>
    <mergeCell ref="E25:F25"/>
    <mergeCell ref="G25:H25"/>
    <mergeCell ref="C5:D5"/>
    <mergeCell ref="E5:F5"/>
    <mergeCell ref="G5:H5"/>
  </mergeCells>
  <pageMargins left="0.7" right="0.7" top="0.75" bottom="0.75" header="0.3" footer="0.3"/>
  <drawing r:id="rId1"/>
  <legacyDrawing r:id="rId2"/>
  <controls>
    <mc:AlternateContent xmlns:mc="http://schemas.openxmlformats.org/markup-compatibility/2006">
      <mc:Choice Requires="x14">
        <control shapeId="11289" r:id="rId3" name="Control 25">
          <controlPr defaultSize="0" r:id="rId4">
            <anchor moveWithCells="1">
              <from>
                <xdr:col>6</xdr:col>
                <xdr:colOff>0</xdr:colOff>
                <xdr:row>84</xdr:row>
                <xdr:rowOff>0</xdr:rowOff>
              </from>
              <to>
                <xdr:col>7</xdr:col>
                <xdr:colOff>236220</xdr:colOff>
                <xdr:row>85</xdr:row>
                <xdr:rowOff>45720</xdr:rowOff>
              </to>
            </anchor>
          </controlPr>
        </control>
      </mc:Choice>
      <mc:Fallback>
        <control shapeId="11289" r:id="rId3" name="Control 25"/>
      </mc:Fallback>
    </mc:AlternateContent>
    <mc:AlternateContent xmlns:mc="http://schemas.openxmlformats.org/markup-compatibility/2006">
      <mc:Choice Requires="x14">
        <control shapeId="11288" r:id="rId5" name="Control 24">
          <controlPr defaultSize="0" r:id="rId4">
            <anchor moveWithCells="1">
              <from>
                <xdr:col>6</xdr:col>
                <xdr:colOff>0</xdr:colOff>
                <xdr:row>84</xdr:row>
                <xdr:rowOff>0</xdr:rowOff>
              </from>
              <to>
                <xdr:col>7</xdr:col>
                <xdr:colOff>236220</xdr:colOff>
                <xdr:row>85</xdr:row>
                <xdr:rowOff>45720</xdr:rowOff>
              </to>
            </anchor>
          </controlPr>
        </control>
      </mc:Choice>
      <mc:Fallback>
        <control shapeId="11288" r:id="rId5" name="Control 24"/>
      </mc:Fallback>
    </mc:AlternateContent>
    <mc:AlternateContent xmlns:mc="http://schemas.openxmlformats.org/markup-compatibility/2006">
      <mc:Choice Requires="x14">
        <control shapeId="11287" r:id="rId6" name="Control 23">
          <controlPr defaultSize="0" r:id="rId4">
            <anchor moveWithCells="1">
              <from>
                <xdr:col>6</xdr:col>
                <xdr:colOff>0</xdr:colOff>
                <xdr:row>84</xdr:row>
                <xdr:rowOff>0</xdr:rowOff>
              </from>
              <to>
                <xdr:col>7</xdr:col>
                <xdr:colOff>236220</xdr:colOff>
                <xdr:row>85</xdr:row>
                <xdr:rowOff>45720</xdr:rowOff>
              </to>
            </anchor>
          </controlPr>
        </control>
      </mc:Choice>
      <mc:Fallback>
        <control shapeId="11287" r:id="rId6" name="Control 23"/>
      </mc:Fallback>
    </mc:AlternateContent>
    <mc:AlternateContent xmlns:mc="http://schemas.openxmlformats.org/markup-compatibility/2006">
      <mc:Choice Requires="x14">
        <control shapeId="11286" r:id="rId7" name="Control 22">
          <controlPr defaultSize="0" r:id="rId4">
            <anchor moveWithCells="1">
              <from>
                <xdr:col>4</xdr:col>
                <xdr:colOff>0</xdr:colOff>
                <xdr:row>84</xdr:row>
                <xdr:rowOff>0</xdr:rowOff>
              </from>
              <to>
                <xdr:col>5</xdr:col>
                <xdr:colOff>304800</xdr:colOff>
                <xdr:row>85</xdr:row>
                <xdr:rowOff>45720</xdr:rowOff>
              </to>
            </anchor>
          </controlPr>
        </control>
      </mc:Choice>
      <mc:Fallback>
        <control shapeId="11286" r:id="rId7" name="Control 22"/>
      </mc:Fallback>
    </mc:AlternateContent>
    <mc:AlternateContent xmlns:mc="http://schemas.openxmlformats.org/markup-compatibility/2006">
      <mc:Choice Requires="x14">
        <control shapeId="11285" r:id="rId8" name="Control 21">
          <controlPr defaultSize="0" r:id="rId4">
            <anchor moveWithCells="1">
              <from>
                <xdr:col>4</xdr:col>
                <xdr:colOff>0</xdr:colOff>
                <xdr:row>84</xdr:row>
                <xdr:rowOff>0</xdr:rowOff>
              </from>
              <to>
                <xdr:col>5</xdr:col>
                <xdr:colOff>304800</xdr:colOff>
                <xdr:row>85</xdr:row>
                <xdr:rowOff>45720</xdr:rowOff>
              </to>
            </anchor>
          </controlPr>
        </control>
      </mc:Choice>
      <mc:Fallback>
        <control shapeId="11285" r:id="rId8" name="Control 21"/>
      </mc:Fallback>
    </mc:AlternateContent>
    <mc:AlternateContent xmlns:mc="http://schemas.openxmlformats.org/markup-compatibility/2006">
      <mc:Choice Requires="x14">
        <control shapeId="11284" r:id="rId9" name="Control 20">
          <controlPr defaultSize="0" r:id="rId4">
            <anchor moveWithCells="1">
              <from>
                <xdr:col>2</xdr:col>
                <xdr:colOff>0</xdr:colOff>
                <xdr:row>84</xdr:row>
                <xdr:rowOff>0</xdr:rowOff>
              </from>
              <to>
                <xdr:col>3</xdr:col>
                <xdr:colOff>304800</xdr:colOff>
                <xdr:row>85</xdr:row>
                <xdr:rowOff>45720</xdr:rowOff>
              </to>
            </anchor>
          </controlPr>
        </control>
      </mc:Choice>
      <mc:Fallback>
        <control shapeId="11284" r:id="rId9" name="Control 20"/>
      </mc:Fallback>
    </mc:AlternateContent>
    <mc:AlternateContent xmlns:mc="http://schemas.openxmlformats.org/markup-compatibility/2006">
      <mc:Choice Requires="x14">
        <control shapeId="11283" r:id="rId10" name="Control 19">
          <controlPr defaultSize="0" r:id="rId4">
            <anchor moveWithCells="1">
              <from>
                <xdr:col>6</xdr:col>
                <xdr:colOff>0</xdr:colOff>
                <xdr:row>84</xdr:row>
                <xdr:rowOff>0</xdr:rowOff>
              </from>
              <to>
                <xdr:col>7</xdr:col>
                <xdr:colOff>236220</xdr:colOff>
                <xdr:row>85</xdr:row>
                <xdr:rowOff>45720</xdr:rowOff>
              </to>
            </anchor>
          </controlPr>
        </control>
      </mc:Choice>
      <mc:Fallback>
        <control shapeId="11283" r:id="rId10" name="Control 19"/>
      </mc:Fallback>
    </mc:AlternateContent>
    <mc:AlternateContent xmlns:mc="http://schemas.openxmlformats.org/markup-compatibility/2006">
      <mc:Choice Requires="x14">
        <control shapeId="11282" r:id="rId11" name="Control 18">
          <controlPr defaultSize="0" r:id="rId4">
            <anchor moveWithCells="1">
              <from>
                <xdr:col>6</xdr:col>
                <xdr:colOff>0</xdr:colOff>
                <xdr:row>84</xdr:row>
                <xdr:rowOff>0</xdr:rowOff>
              </from>
              <to>
                <xdr:col>7</xdr:col>
                <xdr:colOff>236220</xdr:colOff>
                <xdr:row>85</xdr:row>
                <xdr:rowOff>45720</xdr:rowOff>
              </to>
            </anchor>
          </controlPr>
        </control>
      </mc:Choice>
      <mc:Fallback>
        <control shapeId="11282" r:id="rId11" name="Control 18"/>
      </mc:Fallback>
    </mc:AlternateContent>
    <mc:AlternateContent xmlns:mc="http://schemas.openxmlformats.org/markup-compatibility/2006">
      <mc:Choice Requires="x14">
        <control shapeId="11281" r:id="rId12" name="Control 17">
          <controlPr defaultSize="0" r:id="rId4">
            <anchor moveWithCells="1">
              <from>
                <xdr:col>6</xdr:col>
                <xdr:colOff>0</xdr:colOff>
                <xdr:row>84</xdr:row>
                <xdr:rowOff>0</xdr:rowOff>
              </from>
              <to>
                <xdr:col>7</xdr:col>
                <xdr:colOff>236220</xdr:colOff>
                <xdr:row>85</xdr:row>
                <xdr:rowOff>45720</xdr:rowOff>
              </to>
            </anchor>
          </controlPr>
        </control>
      </mc:Choice>
      <mc:Fallback>
        <control shapeId="11281" r:id="rId12" name="Control 17"/>
      </mc:Fallback>
    </mc:AlternateContent>
    <mc:AlternateContent xmlns:mc="http://schemas.openxmlformats.org/markup-compatibility/2006">
      <mc:Choice Requires="x14">
        <control shapeId="11280" r:id="rId13" name="Control 16">
          <controlPr defaultSize="0" r:id="rId4">
            <anchor moveWithCells="1">
              <from>
                <xdr:col>6</xdr:col>
                <xdr:colOff>0</xdr:colOff>
                <xdr:row>84</xdr:row>
                <xdr:rowOff>0</xdr:rowOff>
              </from>
              <to>
                <xdr:col>7</xdr:col>
                <xdr:colOff>236220</xdr:colOff>
                <xdr:row>85</xdr:row>
                <xdr:rowOff>45720</xdr:rowOff>
              </to>
            </anchor>
          </controlPr>
        </control>
      </mc:Choice>
      <mc:Fallback>
        <control shapeId="11280" r:id="rId13" name="Control 16"/>
      </mc:Fallback>
    </mc:AlternateContent>
    <mc:AlternateContent xmlns:mc="http://schemas.openxmlformats.org/markup-compatibility/2006">
      <mc:Choice Requires="x14">
        <control shapeId="11279" r:id="rId14" name="Control 15">
          <controlPr defaultSize="0" r:id="rId4">
            <anchor moveWithCells="1">
              <from>
                <xdr:col>4</xdr:col>
                <xdr:colOff>0</xdr:colOff>
                <xdr:row>84</xdr:row>
                <xdr:rowOff>0</xdr:rowOff>
              </from>
              <to>
                <xdr:col>5</xdr:col>
                <xdr:colOff>304800</xdr:colOff>
                <xdr:row>85</xdr:row>
                <xdr:rowOff>45720</xdr:rowOff>
              </to>
            </anchor>
          </controlPr>
        </control>
      </mc:Choice>
      <mc:Fallback>
        <control shapeId="11279" r:id="rId14" name="Control 15"/>
      </mc:Fallback>
    </mc:AlternateContent>
    <mc:AlternateContent xmlns:mc="http://schemas.openxmlformats.org/markup-compatibility/2006">
      <mc:Choice Requires="x14">
        <control shapeId="11278" r:id="rId15" name="Control 14">
          <controlPr defaultSize="0" r:id="rId4">
            <anchor moveWithCells="1">
              <from>
                <xdr:col>6</xdr:col>
                <xdr:colOff>0</xdr:colOff>
                <xdr:row>84</xdr:row>
                <xdr:rowOff>0</xdr:rowOff>
              </from>
              <to>
                <xdr:col>7</xdr:col>
                <xdr:colOff>236220</xdr:colOff>
                <xdr:row>85</xdr:row>
                <xdr:rowOff>45720</xdr:rowOff>
              </to>
            </anchor>
          </controlPr>
        </control>
      </mc:Choice>
      <mc:Fallback>
        <control shapeId="11278" r:id="rId15" name="Control 14"/>
      </mc:Fallback>
    </mc:AlternateContent>
    <mc:AlternateContent xmlns:mc="http://schemas.openxmlformats.org/markup-compatibility/2006">
      <mc:Choice Requires="x14">
        <control shapeId="11277" r:id="rId16" name="Control 13">
          <controlPr defaultSize="0" r:id="rId4">
            <anchor moveWithCells="1">
              <from>
                <xdr:col>4</xdr:col>
                <xdr:colOff>0</xdr:colOff>
                <xdr:row>84</xdr:row>
                <xdr:rowOff>0</xdr:rowOff>
              </from>
              <to>
                <xdr:col>5</xdr:col>
                <xdr:colOff>304800</xdr:colOff>
                <xdr:row>85</xdr:row>
                <xdr:rowOff>45720</xdr:rowOff>
              </to>
            </anchor>
          </controlPr>
        </control>
      </mc:Choice>
      <mc:Fallback>
        <control shapeId="11277" r:id="rId16" name="Control 13"/>
      </mc:Fallback>
    </mc:AlternateContent>
    <mc:AlternateContent xmlns:mc="http://schemas.openxmlformats.org/markup-compatibility/2006">
      <mc:Choice Requires="x14">
        <control shapeId="11276" r:id="rId17" name="Control 12">
          <controlPr defaultSize="0" r:id="rId4">
            <anchor moveWithCells="1">
              <from>
                <xdr:col>4</xdr:col>
                <xdr:colOff>0</xdr:colOff>
                <xdr:row>84</xdr:row>
                <xdr:rowOff>0</xdr:rowOff>
              </from>
              <to>
                <xdr:col>5</xdr:col>
                <xdr:colOff>304800</xdr:colOff>
                <xdr:row>85</xdr:row>
                <xdr:rowOff>45720</xdr:rowOff>
              </to>
            </anchor>
          </controlPr>
        </control>
      </mc:Choice>
      <mc:Fallback>
        <control shapeId="11276" r:id="rId17" name="Control 12"/>
      </mc:Fallback>
    </mc:AlternateContent>
    <mc:AlternateContent xmlns:mc="http://schemas.openxmlformats.org/markup-compatibility/2006">
      <mc:Choice Requires="x14">
        <control shapeId="11275" r:id="rId18" name="Control 11">
          <controlPr defaultSize="0" r:id="rId4">
            <anchor moveWithCells="1">
              <from>
                <xdr:col>4</xdr:col>
                <xdr:colOff>0</xdr:colOff>
                <xdr:row>84</xdr:row>
                <xdr:rowOff>0</xdr:rowOff>
              </from>
              <to>
                <xdr:col>5</xdr:col>
                <xdr:colOff>304800</xdr:colOff>
                <xdr:row>85</xdr:row>
                <xdr:rowOff>45720</xdr:rowOff>
              </to>
            </anchor>
          </controlPr>
        </control>
      </mc:Choice>
      <mc:Fallback>
        <control shapeId="11275" r:id="rId18" name="Control 11"/>
      </mc:Fallback>
    </mc:AlternateContent>
    <mc:AlternateContent xmlns:mc="http://schemas.openxmlformats.org/markup-compatibility/2006">
      <mc:Choice Requires="x14">
        <control shapeId="11274" r:id="rId19" name="Control 10">
          <controlPr defaultSize="0" r:id="rId4">
            <anchor moveWithCells="1">
              <from>
                <xdr:col>4</xdr:col>
                <xdr:colOff>0</xdr:colOff>
                <xdr:row>84</xdr:row>
                <xdr:rowOff>0</xdr:rowOff>
              </from>
              <to>
                <xdr:col>5</xdr:col>
                <xdr:colOff>304800</xdr:colOff>
                <xdr:row>85</xdr:row>
                <xdr:rowOff>45720</xdr:rowOff>
              </to>
            </anchor>
          </controlPr>
        </control>
      </mc:Choice>
      <mc:Fallback>
        <control shapeId="11274" r:id="rId19" name="Control 10"/>
      </mc:Fallback>
    </mc:AlternateContent>
    <mc:AlternateContent xmlns:mc="http://schemas.openxmlformats.org/markup-compatibility/2006">
      <mc:Choice Requires="x14">
        <control shapeId="11273" r:id="rId20" name="Control 9">
          <controlPr defaultSize="0" r:id="rId4">
            <anchor moveWithCells="1">
              <from>
                <xdr:col>2</xdr:col>
                <xdr:colOff>0</xdr:colOff>
                <xdr:row>84</xdr:row>
                <xdr:rowOff>0</xdr:rowOff>
              </from>
              <to>
                <xdr:col>3</xdr:col>
                <xdr:colOff>304800</xdr:colOff>
                <xdr:row>85</xdr:row>
                <xdr:rowOff>45720</xdr:rowOff>
              </to>
            </anchor>
          </controlPr>
        </control>
      </mc:Choice>
      <mc:Fallback>
        <control shapeId="11273" r:id="rId20" name="Control 9"/>
      </mc:Fallback>
    </mc:AlternateContent>
    <mc:AlternateContent xmlns:mc="http://schemas.openxmlformats.org/markup-compatibility/2006">
      <mc:Choice Requires="x14">
        <control shapeId="11272" r:id="rId21" name="Control 8">
          <controlPr defaultSize="0" r:id="rId4">
            <anchor moveWithCells="1">
              <from>
                <xdr:col>4</xdr:col>
                <xdr:colOff>0</xdr:colOff>
                <xdr:row>84</xdr:row>
                <xdr:rowOff>0</xdr:rowOff>
              </from>
              <to>
                <xdr:col>5</xdr:col>
                <xdr:colOff>304800</xdr:colOff>
                <xdr:row>85</xdr:row>
                <xdr:rowOff>45720</xdr:rowOff>
              </to>
            </anchor>
          </controlPr>
        </control>
      </mc:Choice>
      <mc:Fallback>
        <control shapeId="11272" r:id="rId21" name="Control 8"/>
      </mc:Fallback>
    </mc:AlternateContent>
    <mc:AlternateContent xmlns:mc="http://schemas.openxmlformats.org/markup-compatibility/2006">
      <mc:Choice Requires="x14">
        <control shapeId="11271" r:id="rId22" name="Control 7">
          <controlPr defaultSize="0" r:id="rId4">
            <anchor moveWithCells="1">
              <from>
                <xdr:col>2</xdr:col>
                <xdr:colOff>0</xdr:colOff>
                <xdr:row>84</xdr:row>
                <xdr:rowOff>0</xdr:rowOff>
              </from>
              <to>
                <xdr:col>3</xdr:col>
                <xdr:colOff>304800</xdr:colOff>
                <xdr:row>85</xdr:row>
                <xdr:rowOff>45720</xdr:rowOff>
              </to>
            </anchor>
          </controlPr>
        </control>
      </mc:Choice>
      <mc:Fallback>
        <control shapeId="11271" r:id="rId22" name="Control 7"/>
      </mc:Fallback>
    </mc:AlternateContent>
    <mc:AlternateContent xmlns:mc="http://schemas.openxmlformats.org/markup-compatibility/2006">
      <mc:Choice Requires="x14">
        <control shapeId="11270" r:id="rId23" name="Control 6">
          <controlPr defaultSize="0" r:id="rId4">
            <anchor moveWithCells="1">
              <from>
                <xdr:col>4</xdr:col>
                <xdr:colOff>0</xdr:colOff>
                <xdr:row>84</xdr:row>
                <xdr:rowOff>0</xdr:rowOff>
              </from>
              <to>
                <xdr:col>5</xdr:col>
                <xdr:colOff>304800</xdr:colOff>
                <xdr:row>85</xdr:row>
                <xdr:rowOff>45720</xdr:rowOff>
              </to>
            </anchor>
          </controlPr>
        </control>
      </mc:Choice>
      <mc:Fallback>
        <control shapeId="11270" r:id="rId23" name="Control 6"/>
      </mc:Fallback>
    </mc:AlternateContent>
    <mc:AlternateContent xmlns:mc="http://schemas.openxmlformats.org/markup-compatibility/2006">
      <mc:Choice Requires="x14">
        <control shapeId="11269" r:id="rId24" name="Control 5">
          <controlPr defaultSize="0" r:id="rId4">
            <anchor moveWithCells="1">
              <from>
                <xdr:col>2</xdr:col>
                <xdr:colOff>0</xdr:colOff>
                <xdr:row>84</xdr:row>
                <xdr:rowOff>0</xdr:rowOff>
              </from>
              <to>
                <xdr:col>3</xdr:col>
                <xdr:colOff>304800</xdr:colOff>
                <xdr:row>85</xdr:row>
                <xdr:rowOff>45720</xdr:rowOff>
              </to>
            </anchor>
          </controlPr>
        </control>
      </mc:Choice>
      <mc:Fallback>
        <control shapeId="11269" r:id="rId24" name="Control 5"/>
      </mc:Fallback>
    </mc:AlternateContent>
    <mc:AlternateContent xmlns:mc="http://schemas.openxmlformats.org/markup-compatibility/2006">
      <mc:Choice Requires="x14">
        <control shapeId="11268" r:id="rId25" name="Control 4">
          <controlPr defaultSize="0" r:id="rId4">
            <anchor moveWithCells="1">
              <from>
                <xdr:col>4</xdr:col>
                <xdr:colOff>0</xdr:colOff>
                <xdr:row>84</xdr:row>
                <xdr:rowOff>0</xdr:rowOff>
              </from>
              <to>
                <xdr:col>5</xdr:col>
                <xdr:colOff>304800</xdr:colOff>
                <xdr:row>85</xdr:row>
                <xdr:rowOff>45720</xdr:rowOff>
              </to>
            </anchor>
          </controlPr>
        </control>
      </mc:Choice>
      <mc:Fallback>
        <control shapeId="11268" r:id="rId25" name="Control 4"/>
      </mc:Fallback>
    </mc:AlternateContent>
    <mc:AlternateContent xmlns:mc="http://schemas.openxmlformats.org/markup-compatibility/2006">
      <mc:Choice Requires="x14">
        <control shapeId="11267" r:id="rId26" name="Control 3">
          <controlPr defaultSize="0" r:id="rId4">
            <anchor moveWithCells="1">
              <from>
                <xdr:col>2</xdr:col>
                <xdr:colOff>0</xdr:colOff>
                <xdr:row>84</xdr:row>
                <xdr:rowOff>0</xdr:rowOff>
              </from>
              <to>
                <xdr:col>3</xdr:col>
                <xdr:colOff>304800</xdr:colOff>
                <xdr:row>85</xdr:row>
                <xdr:rowOff>45720</xdr:rowOff>
              </to>
            </anchor>
          </controlPr>
        </control>
      </mc:Choice>
      <mc:Fallback>
        <control shapeId="11267" r:id="rId26" name="Control 3"/>
      </mc:Fallback>
    </mc:AlternateContent>
    <mc:AlternateContent xmlns:mc="http://schemas.openxmlformats.org/markup-compatibility/2006">
      <mc:Choice Requires="x14">
        <control shapeId="11266" r:id="rId27" name="Control 2">
          <controlPr defaultSize="0" r:id="rId28">
            <anchor moveWithCells="1">
              <from>
                <xdr:col>4</xdr:col>
                <xdr:colOff>0</xdr:colOff>
                <xdr:row>84</xdr:row>
                <xdr:rowOff>0</xdr:rowOff>
              </from>
              <to>
                <xdr:col>5</xdr:col>
                <xdr:colOff>304800</xdr:colOff>
                <xdr:row>85</xdr:row>
                <xdr:rowOff>45720</xdr:rowOff>
              </to>
            </anchor>
          </controlPr>
        </control>
      </mc:Choice>
      <mc:Fallback>
        <control shapeId="11266" r:id="rId27" name="Control 2"/>
      </mc:Fallback>
    </mc:AlternateContent>
    <mc:AlternateContent xmlns:mc="http://schemas.openxmlformats.org/markup-compatibility/2006">
      <mc:Choice Requires="x14">
        <control shapeId="11265" r:id="rId29" name="Control 1">
          <controlPr defaultSize="0" r:id="rId4">
            <anchor moveWithCells="1">
              <from>
                <xdr:col>2</xdr:col>
                <xdr:colOff>0</xdr:colOff>
                <xdr:row>84</xdr:row>
                <xdr:rowOff>0</xdr:rowOff>
              </from>
              <to>
                <xdr:col>3</xdr:col>
                <xdr:colOff>304800</xdr:colOff>
                <xdr:row>85</xdr:row>
                <xdr:rowOff>45720</xdr:rowOff>
              </to>
            </anchor>
          </controlPr>
        </control>
      </mc:Choice>
      <mc:Fallback>
        <control shapeId="11265" r:id="rId29" name="Control 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AAF21-881F-4865-A980-CC3B7EDF18D5}">
  <dimension ref="A1:G42"/>
  <sheetViews>
    <sheetView workbookViewId="0">
      <selection activeCell="B15" sqref="B15"/>
    </sheetView>
  </sheetViews>
  <sheetFormatPr defaultRowHeight="14.4" x14ac:dyDescent="0.3"/>
  <cols>
    <col min="1" max="1" width="36.5546875" style="317" customWidth="1"/>
    <col min="2" max="2" width="10.5546875" style="317" customWidth="1"/>
    <col min="3" max="3" width="16.88671875" style="317" customWidth="1"/>
    <col min="4" max="4" width="8.88671875" style="318"/>
    <col min="5" max="16384" width="8.88671875" style="317"/>
  </cols>
  <sheetData>
    <row r="1" spans="1:6" s="258" customFormat="1" ht="24" thickBot="1" x14ac:dyDescent="0.5">
      <c r="A1" s="13" t="s">
        <v>507</v>
      </c>
      <c r="B1" s="13"/>
      <c r="C1" s="13"/>
      <c r="D1" s="301"/>
    </row>
    <row r="2" spans="1:6" s="258" customFormat="1" ht="15" thickTop="1" x14ac:dyDescent="0.3">
      <c r="D2" s="302"/>
    </row>
    <row r="3" spans="1:6" s="258" customFormat="1" ht="18" x14ac:dyDescent="0.3">
      <c r="A3" s="303" t="s">
        <v>506</v>
      </c>
      <c r="D3" s="302"/>
    </row>
    <row r="4" spans="1:6" s="165" customFormat="1" ht="13.8" x14ac:dyDescent="0.3">
      <c r="A4" s="289"/>
      <c r="D4" s="304"/>
    </row>
    <row r="5" spans="1:6" s="165" customFormat="1" ht="13.8" x14ac:dyDescent="0.3">
      <c r="A5" s="305" t="s">
        <v>508</v>
      </c>
      <c r="B5" s="306">
        <f>'6. Investments'!D54</f>
        <v>808200</v>
      </c>
      <c r="C5" s="307" t="s">
        <v>94</v>
      </c>
      <c r="D5" s="305"/>
      <c r="E5" s="307"/>
      <c r="F5" s="307"/>
    </row>
    <row r="6" spans="1:6" s="165" customFormat="1" ht="13.8" x14ac:dyDescent="0.3">
      <c r="A6" s="305" t="s">
        <v>510</v>
      </c>
      <c r="B6" s="308">
        <v>0.5</v>
      </c>
      <c r="D6" s="309" t="s">
        <v>518</v>
      </c>
      <c r="E6" s="307"/>
      <c r="F6" s="307"/>
    </row>
    <row r="7" spans="1:6" s="165" customFormat="1" ht="13.8" x14ac:dyDescent="0.3">
      <c r="A7" s="305" t="s">
        <v>509</v>
      </c>
      <c r="B7" s="306">
        <f>B6*B5</f>
        <v>404100</v>
      </c>
      <c r="C7" s="307" t="s">
        <v>94</v>
      </c>
      <c r="D7" s="305"/>
      <c r="E7" s="307"/>
      <c r="F7" s="307"/>
    </row>
    <row r="8" spans="1:6" s="165" customFormat="1" ht="13.8" x14ac:dyDescent="0.3">
      <c r="A8" s="305" t="s">
        <v>511</v>
      </c>
      <c r="B8" s="306">
        <f>B5-B7</f>
        <v>404100</v>
      </c>
      <c r="C8" s="307" t="s">
        <v>94</v>
      </c>
      <c r="D8" s="305"/>
      <c r="E8" s="307"/>
      <c r="F8" s="307"/>
    </row>
    <row r="9" spans="1:6" s="165" customFormat="1" ht="13.8" x14ac:dyDescent="0.3">
      <c r="A9" s="305" t="s">
        <v>578</v>
      </c>
      <c r="B9" s="308">
        <v>0.05</v>
      </c>
      <c r="D9" s="310"/>
      <c r="E9" s="307"/>
      <c r="F9" s="307"/>
    </row>
    <row r="10" spans="1:6" s="165" customFormat="1" ht="13.8" x14ac:dyDescent="0.3">
      <c r="A10" s="305"/>
      <c r="B10" s="311"/>
      <c r="D10" s="310"/>
      <c r="E10" s="307"/>
      <c r="F10" s="307"/>
    </row>
    <row r="11" spans="1:6" s="258" customFormat="1" ht="18" x14ac:dyDescent="0.3">
      <c r="A11" s="303" t="s">
        <v>512</v>
      </c>
      <c r="D11" s="302"/>
    </row>
    <row r="12" spans="1:6" s="258" customFormat="1" x14ac:dyDescent="0.3">
      <c r="A12" s="305"/>
      <c r="D12" s="302"/>
    </row>
    <row r="13" spans="1:6" s="165" customFormat="1" ht="13.8" x14ac:dyDescent="0.3">
      <c r="A13" s="312" t="s">
        <v>519</v>
      </c>
      <c r="B13" s="313"/>
      <c r="C13" s="313"/>
      <c r="D13" s="305"/>
      <c r="E13" s="307"/>
    </row>
    <row r="14" spans="1:6" s="165" customFormat="1" ht="13.8" x14ac:dyDescent="0.3">
      <c r="A14" s="305" t="s">
        <v>516</v>
      </c>
      <c r="B14" s="306">
        <f>'6. Investments'!G54*(1-B6)</f>
        <v>38544.407059209298</v>
      </c>
      <c r="C14" s="307" t="s">
        <v>94</v>
      </c>
      <c r="D14" s="305"/>
      <c r="E14" s="307"/>
    </row>
    <row r="15" spans="1:6" s="165" customFormat="1" ht="13.8" x14ac:dyDescent="0.3">
      <c r="A15" s="305" t="s">
        <v>503</v>
      </c>
      <c r="B15" s="306">
        <f>'7. Revenues and costs'!G52</f>
        <v>48716.958959992066</v>
      </c>
      <c r="C15" s="307" t="s">
        <v>94</v>
      </c>
      <c r="D15" s="305"/>
      <c r="E15" s="307"/>
    </row>
    <row r="16" spans="1:6" s="165" customFormat="1" ht="13.8" x14ac:dyDescent="0.3">
      <c r="A16" s="305" t="s">
        <v>517</v>
      </c>
      <c r="B16" s="306">
        <f>B15-B14</f>
        <v>10172.551900782768</v>
      </c>
      <c r="C16" s="307" t="s">
        <v>94</v>
      </c>
      <c r="D16" s="309" t="s">
        <v>515</v>
      </c>
      <c r="E16" s="307"/>
    </row>
    <row r="17" spans="1:7" s="165" customFormat="1" ht="13.8" x14ac:dyDescent="0.3">
      <c r="A17" s="312" t="s">
        <v>513</v>
      </c>
      <c r="B17" s="313"/>
      <c r="C17" s="313"/>
      <c r="D17" s="305"/>
      <c r="E17" s="307"/>
    </row>
    <row r="18" spans="1:7" s="165" customFormat="1" ht="13.8" x14ac:dyDescent="0.3">
      <c r="A18" s="305" t="s">
        <v>568</v>
      </c>
      <c r="B18" s="314">
        <f>IF(B15&gt;0,B8/'7. Revenues and costs'!G52,"Ei voi laskea")</f>
        <v>8.2948527294542327</v>
      </c>
      <c r="C18" s="307" t="s">
        <v>95</v>
      </c>
      <c r="D18" s="315" t="s">
        <v>514</v>
      </c>
    </row>
    <row r="19" spans="1:7" s="258" customFormat="1" x14ac:dyDescent="0.3">
      <c r="A19" s="307"/>
      <c r="D19" s="302"/>
      <c r="G19" s="316"/>
    </row>
    <row r="20" spans="1:7" s="258" customFormat="1" x14ac:dyDescent="0.3">
      <c r="D20" s="302"/>
      <c r="G20" s="316"/>
    </row>
    <row r="21" spans="1:7" s="258" customFormat="1" x14ac:dyDescent="0.3">
      <c r="D21" s="302"/>
    </row>
    <row r="22" spans="1:7" s="258" customFormat="1" x14ac:dyDescent="0.3">
      <c r="D22" s="302"/>
    </row>
    <row r="23" spans="1:7" s="258" customFormat="1" x14ac:dyDescent="0.3">
      <c r="D23" s="302"/>
    </row>
    <row r="24" spans="1:7" s="258" customFormat="1" x14ac:dyDescent="0.3">
      <c r="D24" s="302"/>
    </row>
    <row r="25" spans="1:7" s="258" customFormat="1" x14ac:dyDescent="0.3">
      <c r="D25" s="302"/>
    </row>
    <row r="26" spans="1:7" s="258" customFormat="1" x14ac:dyDescent="0.3">
      <c r="D26" s="302"/>
    </row>
    <row r="27" spans="1:7" s="258" customFormat="1" x14ac:dyDescent="0.3">
      <c r="D27" s="302"/>
    </row>
    <row r="28" spans="1:7" s="258" customFormat="1" x14ac:dyDescent="0.3">
      <c r="D28" s="302"/>
    </row>
    <row r="29" spans="1:7" s="258" customFormat="1" x14ac:dyDescent="0.3">
      <c r="D29" s="302"/>
    </row>
    <row r="30" spans="1:7" s="258" customFormat="1" x14ac:dyDescent="0.3">
      <c r="D30" s="302"/>
    </row>
    <row r="31" spans="1:7" s="258" customFormat="1" x14ac:dyDescent="0.3">
      <c r="D31" s="302"/>
    </row>
    <row r="32" spans="1:7" s="258" customFormat="1" x14ac:dyDescent="0.3">
      <c r="D32" s="302"/>
    </row>
    <row r="33" spans="4:4" s="258" customFormat="1" x14ac:dyDescent="0.3">
      <c r="D33" s="302"/>
    </row>
    <row r="34" spans="4:4" s="258" customFormat="1" x14ac:dyDescent="0.3">
      <c r="D34" s="302"/>
    </row>
    <row r="35" spans="4:4" s="258" customFormat="1" x14ac:dyDescent="0.3">
      <c r="D35" s="302"/>
    </row>
    <row r="36" spans="4:4" s="258" customFormat="1" x14ac:dyDescent="0.3">
      <c r="D36" s="302"/>
    </row>
    <row r="37" spans="4:4" s="258" customFormat="1" x14ac:dyDescent="0.3">
      <c r="D37" s="302"/>
    </row>
    <row r="38" spans="4:4" s="258" customFormat="1" x14ac:dyDescent="0.3">
      <c r="D38" s="302"/>
    </row>
    <row r="39" spans="4:4" s="258" customFormat="1" x14ac:dyDescent="0.3">
      <c r="D39" s="302"/>
    </row>
    <row r="40" spans="4:4" s="258" customFormat="1" x14ac:dyDescent="0.3">
      <c r="D40" s="302"/>
    </row>
    <row r="41" spans="4:4" s="258" customFormat="1" x14ac:dyDescent="0.3">
      <c r="D41" s="302"/>
    </row>
    <row r="42" spans="4:4" s="258" customFormat="1" x14ac:dyDescent="0.3">
      <c r="D42" s="302"/>
    </row>
  </sheetData>
  <sheetProtection algorithmName="SHA-512" hashValue="4cphHVCJC+S+4DXfAvMvf0dLO1KRHOBf2ASgTcFc9Qdcp30gOIOYXWcmtbXpEa55wWJATRtGwAUEgJYZXc983w==" saltValue="Q8k4axb46S7kkhKl6Bl7kA==" spinCount="100000" sheet="1" objects="1" scenarios="1"/>
  <protectedRanges>
    <protectedRange sqref="B9" name="Alue2"/>
    <protectedRange sqref="B6" name="Alue1"/>
  </protectedRange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10</vt:i4>
      </vt:variant>
    </vt:vector>
  </HeadingPairs>
  <TitlesOfParts>
    <vt:vector size="10" baseType="lpstr">
      <vt:lpstr>INFO</vt:lpstr>
      <vt:lpstr>1. Feedstock</vt:lpstr>
      <vt:lpstr>2. Plant type</vt:lpstr>
      <vt:lpstr>3. Technology</vt:lpstr>
      <vt:lpstr>4. Energy</vt:lpstr>
      <vt:lpstr>5. Nutrients</vt:lpstr>
      <vt:lpstr>6. Investments</vt:lpstr>
      <vt:lpstr>7. Revenues and costs</vt:lpstr>
      <vt:lpstr>8. Profitability</vt:lpstr>
      <vt:lpstr>9.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Pyykkönen Ville (LUKE)</dc:creator>
  <cp:lastModifiedBy>Pyykkönen Ville (LUKE)</cp:lastModifiedBy>
  <dcterms:created xsi:type="dcterms:W3CDTF">2025-12-05T12:34:57Z</dcterms:created>
  <dcterms:modified xsi:type="dcterms:W3CDTF">2026-04-14T11:30:20Z</dcterms:modified>
</cp:coreProperties>
</file>